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bastjang\Desktop\"/>
    </mc:Choice>
  </mc:AlternateContent>
  <bookViews>
    <workbookView xWindow="90" yWindow="135" windowWidth="9420" windowHeight="4500"/>
  </bookViews>
  <sheets>
    <sheet name="Balkon-Belast_Geom" sheetId="1" r:id="rId1"/>
    <sheet name="Balkon-innen_Kraefte" sheetId="3" r:id="rId2"/>
    <sheet name="Data" sheetId="2" r:id="rId3"/>
  </sheets>
  <definedNames>
    <definedName name="_xlnm.Print_Area" localSheetId="0">'Balkon-Belast_Geom'!$A$1:$N$78</definedName>
    <definedName name="_xlnm.Print_Area" localSheetId="1">'Balkon-innen_Kraefte'!$A$1:$N$42</definedName>
  </definedNames>
  <calcPr calcId="152511"/>
</workbook>
</file>

<file path=xl/calcChain.xml><?xml version="1.0" encoding="utf-8"?>
<calcChain xmlns="http://schemas.openxmlformats.org/spreadsheetml/2006/main">
  <c r="T49" i="1" l="1"/>
  <c r="L41" i="1"/>
  <c r="V45" i="1" s="1"/>
  <c r="R49" i="1" s="1"/>
  <c r="R12" i="1"/>
  <c r="T16" i="1" s="1"/>
  <c r="R14" i="1"/>
  <c r="T17" i="1"/>
  <c r="R17" i="1" s="1"/>
  <c r="L19" i="1"/>
  <c r="T19" i="1" s="1"/>
  <c r="R19" i="1" s="1"/>
  <c r="L21" i="1"/>
  <c r="T21" i="1" s="1"/>
  <c r="R21" i="1" s="1"/>
  <c r="L23" i="1"/>
  <c r="T23" i="1" s="1"/>
  <c r="R23" i="1" s="1"/>
  <c r="T25" i="1"/>
  <c r="R25" i="1"/>
  <c r="L27" i="1"/>
  <c r="T27" i="1" s="1"/>
  <c r="R27" i="1" s="1"/>
  <c r="L31" i="1"/>
  <c r="T31" i="1" s="1"/>
  <c r="R31" i="1" s="1"/>
  <c r="L35" i="1"/>
  <c r="T35" i="1"/>
  <c r="R35" i="1" s="1"/>
  <c r="L37" i="1"/>
  <c r="W37" i="1" s="1"/>
  <c r="Z41" i="1" s="1"/>
  <c r="W41" i="1" s="1"/>
  <c r="R41" i="1"/>
  <c r="W35" i="1"/>
  <c r="W39" i="1"/>
  <c r="T50" i="1"/>
  <c r="T48" i="1"/>
  <c r="R45" i="1"/>
  <c r="R47" i="1"/>
  <c r="T47" i="1"/>
  <c r="X12" i="3"/>
  <c r="R17" i="3" s="1"/>
  <c r="V17" i="3" s="1"/>
  <c r="Z17" i="3" s="1"/>
  <c r="R10" i="3"/>
  <c r="T17" i="3"/>
  <c r="X17" i="3" s="1"/>
  <c r="V12" i="3"/>
  <c r="R16" i="3"/>
  <c r="V16" i="3" s="1"/>
  <c r="Z16" i="3" s="1"/>
  <c r="T16" i="3"/>
  <c r="X16" i="3" s="1"/>
  <c r="T12" i="3"/>
  <c r="R15" i="3"/>
  <c r="T15" i="3"/>
  <c r="X15" i="3" s="1"/>
  <c r="R12" i="3"/>
  <c r="R14" i="3"/>
  <c r="V14" i="3" s="1"/>
  <c r="Z14" i="3" s="1"/>
  <c r="T14" i="3"/>
  <c r="X14" i="3" s="1"/>
  <c r="S62" i="1"/>
  <c r="S61" i="1"/>
  <c r="C15" i="3"/>
  <c r="C16" i="3"/>
  <c r="C14" i="3"/>
  <c r="C13" i="3"/>
  <c r="C46" i="1"/>
  <c r="C49" i="1"/>
  <c r="C48" i="1"/>
  <c r="C47" i="1"/>
  <c r="R23" i="3"/>
  <c r="R22" i="3"/>
  <c r="R21" i="3"/>
  <c r="T23" i="3"/>
  <c r="T22" i="3"/>
  <c r="T21" i="3"/>
  <c r="T20" i="3"/>
  <c r="T56" i="1"/>
  <c r="T55" i="1"/>
  <c r="T54" i="1"/>
  <c r="T53" i="1"/>
  <c r="R56" i="1"/>
  <c r="R55" i="1"/>
  <c r="R54" i="1"/>
  <c r="R53" i="1"/>
  <c r="R20" i="3"/>
  <c r="L6" i="3"/>
  <c r="L6" i="1"/>
  <c r="V15" i="3"/>
  <c r="Z15" i="3" s="1"/>
  <c r="T45" i="1"/>
  <c r="R48" i="1" s="1"/>
  <c r="X45" i="1"/>
  <c r="R50" i="1" s="1"/>
  <c r="T37" i="1"/>
  <c r="R37" i="1" s="1"/>
  <c r="R16" i="1" l="1"/>
  <c r="R43" i="1" s="1"/>
  <c r="W43" i="1" s="1"/>
  <c r="G44" i="1" s="1"/>
  <c r="V47" i="1" s="1"/>
  <c r="T43" i="1"/>
  <c r="Z43" i="1" s="1"/>
  <c r="J44" i="1" s="1"/>
  <c r="H14" i="3"/>
  <c r="D14" i="3"/>
  <c r="D16" i="3"/>
  <c r="C17" i="3"/>
  <c r="H16" i="3"/>
  <c r="H13" i="3"/>
  <c r="J13" i="3"/>
  <c r="D13" i="3"/>
  <c r="V49" i="1"/>
  <c r="D15" i="3"/>
  <c r="H15" i="3"/>
  <c r="V50" i="1"/>
  <c r="V48" i="1"/>
  <c r="Z50" i="1" l="1"/>
  <c r="X49" i="1"/>
  <c r="Z49" i="1" s="1"/>
  <c r="X50" i="1"/>
  <c r="X48" i="1"/>
  <c r="Z48" i="1" s="1"/>
  <c r="X47" i="1"/>
  <c r="Z47" i="1"/>
  <c r="H47" i="1" l="1"/>
  <c r="D47" i="1"/>
  <c r="D48" i="1"/>
  <c r="H48" i="1"/>
  <c r="D49" i="1"/>
  <c r="H49" i="1"/>
  <c r="C50" i="1"/>
  <c r="D46" i="1"/>
  <c r="H46" i="1"/>
  <c r="J46" i="1"/>
</calcChain>
</file>

<file path=xl/sharedStrings.xml><?xml version="1.0" encoding="utf-8"?>
<sst xmlns="http://schemas.openxmlformats.org/spreadsheetml/2006/main" count="293" uniqueCount="159">
  <si>
    <t>Verze:</t>
  </si>
  <si>
    <t>Datum:</t>
  </si>
  <si>
    <r>
      <t>q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[kN/m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=</t>
    </r>
  </si>
  <si>
    <r>
      <t>q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[kN/m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=</t>
    </r>
  </si>
  <si>
    <r>
      <t>q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[kN/m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=</t>
    </r>
  </si>
  <si>
    <r>
      <t>q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[kN/m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=</t>
    </r>
  </si>
  <si>
    <t>L [mm] =</t>
  </si>
  <si>
    <r>
      <t>L</t>
    </r>
    <r>
      <rPr>
        <vertAlign val="subscript"/>
        <sz val="10"/>
        <color indexed="61"/>
        <rFont val="Arial"/>
        <family val="2"/>
        <charset val="238"/>
      </rPr>
      <t>IV</t>
    </r>
    <r>
      <rPr>
        <sz val="10"/>
        <color indexed="61"/>
        <rFont val="Arial"/>
        <family val="2"/>
        <charset val="238"/>
      </rPr>
      <t xml:space="preserve"> [mm] =</t>
    </r>
  </si>
  <si>
    <r>
      <t>q</t>
    </r>
    <r>
      <rPr>
        <vertAlign val="subscript"/>
        <sz val="10"/>
        <color indexed="61"/>
        <rFont val="Arial"/>
        <family val="2"/>
        <charset val="238"/>
      </rPr>
      <t>IV</t>
    </r>
    <r>
      <rPr>
        <sz val="10"/>
        <color indexed="61"/>
        <rFont val="Arial"/>
        <family val="2"/>
        <charset val="238"/>
      </rPr>
      <t xml:space="preserve"> [kN/m3]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</si>
  <si>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q1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</si>
  <si>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q1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</si>
  <si>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q2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</si>
  <si>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q2</t>
    </r>
    <r>
      <rPr>
        <sz val="10"/>
        <color indexed="12"/>
        <rFont val="Arial"/>
        <family val="2"/>
        <charset val="238"/>
      </rPr>
      <t xml:space="preserve"> [kNm/m]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</si>
  <si>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q3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</si>
  <si>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q3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</si>
  <si>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q4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</si>
  <si>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q4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</si>
  <si>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f5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</si>
  <si>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f5</t>
    </r>
    <r>
      <rPr>
        <sz val="10"/>
        <color indexed="12"/>
        <rFont val="Arial"/>
        <family val="2"/>
        <charset val="238"/>
      </rPr>
      <t xml:space="preserve"> [kN/m] =</t>
    </r>
  </si>
  <si>
    <t>výška prvku</t>
  </si>
  <si>
    <t>[mm]</t>
  </si>
  <si>
    <t>rameno zi</t>
  </si>
  <si>
    <t>[kNm]</t>
  </si>
  <si>
    <t>[kNm/m]</t>
  </si>
  <si>
    <t>[%]</t>
  </si>
  <si>
    <t>[kN]</t>
  </si>
  <si>
    <t>[kN/m]</t>
  </si>
  <si>
    <t>TS8</t>
  </si>
  <si>
    <t>Únosnost pro C25/30</t>
  </si>
  <si>
    <t>TS6</t>
  </si>
  <si>
    <t>TS5</t>
  </si>
  <si>
    <t>TS4</t>
  </si>
  <si>
    <r>
      <t>m</t>
    </r>
    <r>
      <rPr>
        <vertAlign val="subscript"/>
        <sz val="10"/>
        <rFont val="Arial"/>
        <family val="2"/>
        <charset val="238"/>
      </rPr>
      <t>Rd,tlak</t>
    </r>
  </si>
  <si>
    <r>
      <t>m</t>
    </r>
    <r>
      <rPr>
        <vertAlign val="subscript"/>
        <sz val="10"/>
        <rFont val="Arial"/>
        <family val="2"/>
        <charset val="238"/>
      </rPr>
      <t>Rd,tah</t>
    </r>
  </si>
  <si>
    <r>
      <t>M</t>
    </r>
    <r>
      <rPr>
        <vertAlign val="subscript"/>
        <sz val="10"/>
        <rFont val="Arial"/>
        <family val="2"/>
        <charset val="238"/>
      </rPr>
      <t>Rd,element</t>
    </r>
  </si>
  <si>
    <r>
      <t>m</t>
    </r>
    <r>
      <rPr>
        <vertAlign val="subscript"/>
        <sz val="10"/>
        <rFont val="Arial"/>
        <family val="2"/>
        <charset val="238"/>
      </rPr>
      <t>Rd</t>
    </r>
  </si>
  <si>
    <r>
      <t>f/l</t>
    </r>
    <r>
      <rPr>
        <vertAlign val="subscript"/>
        <sz val="10"/>
        <rFont val="Arial"/>
        <family val="2"/>
        <charset val="238"/>
      </rPr>
      <t>konz.</t>
    </r>
    <r>
      <rPr>
        <sz val="10"/>
        <rFont val="Arial"/>
        <family val="2"/>
        <charset val="238"/>
      </rPr>
      <t>=tan(α)</t>
    </r>
  </si>
  <si>
    <r>
      <t>V</t>
    </r>
    <r>
      <rPr>
        <vertAlign val="subscript"/>
        <sz val="10"/>
        <rFont val="Arial"/>
        <family val="2"/>
        <charset val="238"/>
      </rPr>
      <t>Rd,element</t>
    </r>
  </si>
  <si>
    <r>
      <t>v</t>
    </r>
    <r>
      <rPr>
        <vertAlign val="subscript"/>
        <sz val="10"/>
        <rFont val="Arial"/>
        <family val="2"/>
        <charset val="238"/>
      </rPr>
      <t>Rd</t>
    </r>
  </si>
  <si>
    <r>
      <t>M</t>
    </r>
    <r>
      <rPr>
        <vertAlign val="subscript"/>
        <sz val="10"/>
        <color indexed="12"/>
        <rFont val="Arial"/>
        <family val="2"/>
        <charset val="238"/>
      </rPr>
      <t>IV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</si>
  <si>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IV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</si>
  <si>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60"/>
        <rFont val="Arial"/>
        <family val="2"/>
        <charset val="238"/>
      </rPr>
      <t>T8</t>
    </r>
    <r>
      <rPr>
        <sz val="10"/>
        <color indexed="60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</si>
  <si>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60"/>
        <rFont val="Arial"/>
        <family val="2"/>
        <charset val="238"/>
      </rPr>
      <t>T8</t>
    </r>
    <r>
      <rPr>
        <sz val="10"/>
        <color indexed="60"/>
        <rFont val="Arial"/>
        <family val="2"/>
        <charset val="238"/>
      </rPr>
      <t xml:space="preserve"> [kN/m] =</t>
    </r>
  </si>
  <si>
    <r>
      <t>a</t>
    </r>
    <r>
      <rPr>
        <vertAlign val="subscript"/>
        <sz val="10"/>
        <color indexed="60"/>
        <rFont val="Arial"/>
        <family val="2"/>
        <charset val="238"/>
      </rPr>
      <t>M,T8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</si>
  <si>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Q,T8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</si>
  <si>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T8</t>
    </r>
    <r>
      <rPr>
        <sz val="10"/>
        <color indexed="60"/>
        <rFont val="Arial"/>
        <family val="2"/>
        <charset val="238"/>
      </rPr>
      <t xml:space="preserve"> =</t>
    </r>
  </si>
  <si>
    <r>
      <t>M</t>
    </r>
    <r>
      <rPr>
        <vertAlign val="subscript"/>
        <sz val="10"/>
        <color indexed="60"/>
        <rFont val="Arial"/>
        <family val="2"/>
        <charset val="238"/>
      </rPr>
      <t>T6</t>
    </r>
    <r>
      <rPr>
        <sz val="10"/>
        <color indexed="60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</si>
  <si>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60"/>
        <rFont val="Arial"/>
        <family val="2"/>
        <charset val="238"/>
      </rPr>
      <t>T6</t>
    </r>
    <r>
      <rPr>
        <sz val="10"/>
        <color indexed="60"/>
        <rFont val="Arial"/>
        <family val="2"/>
        <charset val="238"/>
      </rPr>
      <t xml:space="preserve"> [kN/m] =</t>
    </r>
  </si>
  <si>
    <r>
      <t>a</t>
    </r>
    <r>
      <rPr>
        <vertAlign val="subscript"/>
        <sz val="10"/>
        <color indexed="60"/>
        <rFont val="Arial"/>
        <family val="2"/>
        <charset val="238"/>
      </rPr>
      <t>M,T6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</si>
  <si>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Q,T6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</si>
  <si>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T6</t>
    </r>
    <r>
      <rPr>
        <sz val="10"/>
        <color indexed="60"/>
        <rFont val="Arial"/>
        <family val="2"/>
        <charset val="238"/>
      </rPr>
      <t xml:space="preserve"> =</t>
    </r>
  </si>
  <si>
    <r>
      <t>M</t>
    </r>
    <r>
      <rPr>
        <vertAlign val="subscript"/>
        <sz val="10"/>
        <color indexed="60"/>
        <rFont val="Arial"/>
        <family val="2"/>
        <charset val="238"/>
      </rPr>
      <t>T5</t>
    </r>
    <r>
      <rPr>
        <sz val="10"/>
        <color indexed="60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</si>
  <si>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60"/>
        <rFont val="Arial"/>
        <family val="2"/>
        <charset val="238"/>
      </rPr>
      <t>T5</t>
    </r>
    <r>
      <rPr>
        <sz val="10"/>
        <color indexed="60"/>
        <rFont val="Arial"/>
        <family val="2"/>
        <charset val="238"/>
      </rPr>
      <t xml:space="preserve"> [kN/m] =</t>
    </r>
  </si>
  <si>
    <r>
      <t>a</t>
    </r>
    <r>
      <rPr>
        <vertAlign val="subscript"/>
        <sz val="10"/>
        <color indexed="60"/>
        <rFont val="Arial"/>
        <family val="2"/>
        <charset val="238"/>
      </rPr>
      <t>M,T5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</si>
  <si>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Q,T5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</si>
  <si>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T5</t>
    </r>
    <r>
      <rPr>
        <sz val="10"/>
        <color indexed="60"/>
        <rFont val="Arial"/>
        <family val="2"/>
        <charset val="238"/>
      </rPr>
      <t xml:space="preserve"> =</t>
    </r>
  </si>
  <si>
    <r>
      <t>M</t>
    </r>
    <r>
      <rPr>
        <vertAlign val="subscript"/>
        <sz val="10"/>
        <color indexed="60"/>
        <rFont val="Arial"/>
        <family val="2"/>
        <charset val="238"/>
      </rPr>
      <t>T4</t>
    </r>
    <r>
      <rPr>
        <sz val="10"/>
        <color indexed="60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</si>
  <si>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60"/>
        <rFont val="Arial"/>
        <family val="2"/>
        <charset val="238"/>
      </rPr>
      <t>T4</t>
    </r>
    <r>
      <rPr>
        <sz val="10"/>
        <color indexed="60"/>
        <rFont val="Arial"/>
        <family val="2"/>
        <charset val="238"/>
      </rPr>
      <t xml:space="preserve"> [kN/m] =</t>
    </r>
  </si>
  <si>
    <r>
      <t>a</t>
    </r>
    <r>
      <rPr>
        <vertAlign val="subscript"/>
        <sz val="10"/>
        <color indexed="60"/>
        <rFont val="Arial"/>
        <family val="2"/>
        <charset val="238"/>
      </rPr>
      <t>M,T4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</si>
  <si>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Q,T4</t>
    </r>
    <r>
      <rPr>
        <sz val="10"/>
        <color indexed="60"/>
        <rFont val="Arial"/>
        <family val="2"/>
        <charset val="238"/>
      </rPr>
      <t xml:space="preserve"> =</t>
    </r>
  </si>
  <si>
    <r>
      <t>a</t>
    </r>
    <r>
      <rPr>
        <vertAlign val="subscript"/>
        <sz val="10"/>
        <color indexed="60"/>
        <rFont val="Arial"/>
        <family val="2"/>
        <charset val="238"/>
      </rPr>
      <t>T4</t>
    </r>
    <r>
      <rPr>
        <sz val="10"/>
        <color indexed="60"/>
        <rFont val="Arial"/>
        <family val="2"/>
        <charset val="238"/>
      </rPr>
      <t xml:space="preserve"> =</t>
    </r>
  </si>
  <si>
    <r>
      <t>M</t>
    </r>
    <r>
      <rPr>
        <vertAlign val="subscript"/>
        <sz val="10"/>
        <color indexed="12"/>
        <rFont val="Arial"/>
        <family val="2"/>
        <charset val="238"/>
      </rPr>
      <t>celk,VNIT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</si>
  <si>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celk,VNIT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</si>
  <si>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57"/>
        <rFont val="Arial"/>
        <family val="2"/>
        <charset val="238"/>
      </rPr>
      <t>ZABR</t>
    </r>
    <r>
      <rPr>
        <sz val="10"/>
        <color indexed="57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</si>
  <si>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57"/>
        <rFont val="Arial"/>
        <family val="2"/>
        <charset val="238"/>
      </rPr>
      <t>ZABR</t>
    </r>
    <r>
      <rPr>
        <sz val="10"/>
        <color indexed="57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</si>
  <si>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57"/>
        <rFont val="Arial"/>
        <family val="2"/>
        <charset val="238"/>
      </rPr>
      <t>celk,ZABR</t>
    </r>
    <r>
      <rPr>
        <sz val="10"/>
        <color indexed="57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</si>
  <si>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57"/>
        <rFont val="Arial"/>
        <family val="2"/>
        <charset val="238"/>
      </rPr>
      <t>celk,ZABR</t>
    </r>
    <r>
      <rPr>
        <sz val="10"/>
        <color indexed="57"/>
        <rFont val="Arial"/>
        <family val="2"/>
        <charset val="238"/>
      </rPr>
      <t xml:space="preserve"> [kN/m] =</t>
    </r>
  </si>
  <si>
    <t>Autor:</t>
  </si>
  <si>
    <t>BD, Štítného 34, Praha 3</t>
  </si>
  <si>
    <t>Šprungl</t>
  </si>
  <si>
    <t>Balkón z místnosti 3.22</t>
  </si>
  <si>
    <r>
      <t>F</t>
    </r>
    <r>
      <rPr>
        <vertAlign val="subscript"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 xml:space="preserve"> [kN/m] =</t>
    </r>
  </si>
  <si>
    <r>
      <t>F</t>
    </r>
    <r>
      <rPr>
        <vertAlign val="subscript"/>
        <sz val="10"/>
        <rFont val="Arial"/>
        <family val="2"/>
        <charset val="238"/>
      </rPr>
      <t>6a</t>
    </r>
    <r>
      <rPr>
        <sz val="10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</si>
  <si>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f6a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</si>
  <si>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f6a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</si>
  <si>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f6b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</si>
  <si>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f6b</t>
    </r>
    <r>
      <rPr>
        <sz val="10"/>
        <color indexed="12"/>
        <rFont val="Arial"/>
        <family val="2"/>
        <charset val="238"/>
      </rPr>
      <t xml:space="preserve"> [kN/m] =</t>
    </r>
  </si>
  <si>
    <r>
      <t>F</t>
    </r>
    <r>
      <rPr>
        <vertAlign val="subscript"/>
        <sz val="10"/>
        <rFont val="Arial"/>
        <family val="2"/>
        <charset val="238"/>
      </rPr>
      <t>6b</t>
    </r>
    <r>
      <rPr>
        <sz val="10"/>
        <rFont val="Arial"/>
        <family val="2"/>
        <charset val="238"/>
      </rPr>
      <t xml:space="preserve"> [kN/m] =</t>
    </r>
  </si>
  <si>
    <r>
      <t>H</t>
    </r>
    <r>
      <rPr>
        <vertAlign val="subscript"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</si>
  <si>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h6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</si>
  <si>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d,1</t>
    </r>
    <r>
      <rPr>
        <sz val="10"/>
        <color indexed="12"/>
        <rFont val="Arial"/>
        <family val="2"/>
        <charset val="238"/>
      </rPr>
      <t xml:space="preserve"> [kN/m</t>
    </r>
    <r>
      <rPr>
        <vertAlign val="superscript"/>
        <sz val="10"/>
        <color indexed="12"/>
        <rFont val="Arial"/>
        <family val="2"/>
        <charset val="238"/>
      </rPr>
      <t>2</t>
    </r>
    <r>
      <rPr>
        <sz val="10"/>
        <color indexed="12"/>
        <rFont val="Arial"/>
        <family val="2"/>
        <charset val="238"/>
      </rPr>
      <t>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</si>
  <si>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d,2</t>
    </r>
    <r>
      <rPr>
        <sz val="10"/>
        <color indexed="12"/>
        <rFont val="Arial"/>
        <family val="2"/>
        <charset val="238"/>
      </rPr>
      <t xml:space="preserve"> [kN/m</t>
    </r>
    <r>
      <rPr>
        <vertAlign val="superscript"/>
        <sz val="10"/>
        <color indexed="12"/>
        <rFont val="Arial"/>
        <family val="2"/>
        <charset val="238"/>
      </rPr>
      <t>2</t>
    </r>
    <r>
      <rPr>
        <sz val="10"/>
        <color indexed="12"/>
        <rFont val="Arial"/>
        <family val="2"/>
        <charset val="238"/>
      </rPr>
      <t>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</si>
  <si>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d,3</t>
    </r>
    <r>
      <rPr>
        <sz val="10"/>
        <color indexed="12"/>
        <rFont val="Arial"/>
        <family val="2"/>
        <charset val="238"/>
      </rPr>
      <t xml:space="preserve"> [kN/m</t>
    </r>
    <r>
      <rPr>
        <vertAlign val="superscript"/>
        <sz val="10"/>
        <color indexed="12"/>
        <rFont val="Arial"/>
        <family val="2"/>
        <charset val="238"/>
      </rPr>
      <t>2</t>
    </r>
    <r>
      <rPr>
        <sz val="10"/>
        <color indexed="12"/>
        <rFont val="Arial"/>
        <family val="2"/>
        <charset val="238"/>
      </rPr>
      <t>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</si>
  <si>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d,4</t>
    </r>
    <r>
      <rPr>
        <sz val="10"/>
        <color indexed="12"/>
        <rFont val="Arial"/>
        <family val="2"/>
        <charset val="238"/>
      </rPr>
      <t xml:space="preserve"> [kN/m</t>
    </r>
    <r>
      <rPr>
        <vertAlign val="superscript"/>
        <sz val="10"/>
        <color indexed="12"/>
        <rFont val="Arial"/>
        <family val="2"/>
        <charset val="238"/>
      </rPr>
      <t>2</t>
    </r>
    <r>
      <rPr>
        <sz val="10"/>
        <color indexed="12"/>
        <rFont val="Arial"/>
        <family val="2"/>
        <charset val="238"/>
      </rPr>
      <t>] =</t>
    </r>
  </si>
  <si>
    <r>
      <t>F</t>
    </r>
    <r>
      <rPr>
        <vertAlign val="subscript"/>
        <sz val="10"/>
        <color indexed="12"/>
        <rFont val="Arial"/>
        <family val="2"/>
        <charset val="238"/>
      </rPr>
      <t>d,5</t>
    </r>
    <r>
      <rPr>
        <sz val="10"/>
        <color indexed="12"/>
        <rFont val="Arial"/>
        <family val="2"/>
        <charset val="238"/>
      </rPr>
      <t xml:space="preserve"> [kN/m] =</t>
    </r>
  </si>
  <si>
    <r>
      <t>F</t>
    </r>
    <r>
      <rPr>
        <vertAlign val="subscript"/>
        <sz val="10"/>
        <color indexed="12"/>
        <rFont val="Arial"/>
        <family val="2"/>
        <charset val="238"/>
      </rPr>
      <t>d,6a</t>
    </r>
    <r>
      <rPr>
        <sz val="10"/>
        <color indexed="12"/>
        <rFont val="Arial"/>
        <family val="2"/>
        <charset val="238"/>
      </rPr>
      <t xml:space="preserve"> [kN/m] =</t>
    </r>
  </si>
  <si>
    <r>
      <t>F</t>
    </r>
    <r>
      <rPr>
        <vertAlign val="subscript"/>
        <sz val="10"/>
        <color indexed="12"/>
        <rFont val="Arial"/>
        <family val="2"/>
        <charset val="238"/>
      </rPr>
      <t>d,6b</t>
    </r>
    <r>
      <rPr>
        <sz val="10"/>
        <color indexed="12"/>
        <rFont val="Arial"/>
        <family val="2"/>
        <charset val="238"/>
      </rPr>
      <t xml:space="preserve"> [kN/m] =</t>
    </r>
  </si>
  <si>
    <r>
      <t>H</t>
    </r>
    <r>
      <rPr>
        <vertAlign val="subscript"/>
        <sz val="10"/>
        <color indexed="12"/>
        <rFont val="Arial"/>
        <family val="2"/>
        <charset val="238"/>
      </rPr>
      <t>d,6</t>
    </r>
    <r>
      <rPr>
        <sz val="10"/>
        <color indexed="12"/>
        <rFont val="Arial"/>
        <family val="2"/>
        <charset val="238"/>
      </rPr>
      <t xml:space="preserve"> [kN/m] =</t>
    </r>
  </si>
  <si>
    <r>
      <t>F</t>
    </r>
    <r>
      <rPr>
        <vertAlign val="subscript"/>
        <sz val="10"/>
        <color indexed="57"/>
        <rFont val="Arial"/>
        <family val="2"/>
        <charset val="238"/>
      </rPr>
      <t>f6a</t>
    </r>
    <r>
      <rPr>
        <sz val="10"/>
        <color indexed="57"/>
        <rFont val="Arial"/>
        <family val="2"/>
        <charset val="238"/>
      </rPr>
      <t xml:space="preserve"> [kN/m] =</t>
    </r>
  </si>
  <si>
    <r>
      <t>F</t>
    </r>
    <r>
      <rPr>
        <vertAlign val="subscript"/>
        <sz val="10"/>
        <color indexed="57"/>
        <rFont val="Arial"/>
        <family val="2"/>
        <charset val="238"/>
      </rPr>
      <t>f6b</t>
    </r>
    <r>
      <rPr>
        <sz val="10"/>
        <color indexed="57"/>
        <rFont val="Arial"/>
        <family val="2"/>
        <charset val="238"/>
      </rPr>
      <t xml:space="preserve"> [kN/m] =</t>
    </r>
  </si>
  <si>
    <r>
      <t>h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[mm] =</t>
    </r>
  </si>
  <si>
    <r>
      <t>h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[mm] =</t>
    </r>
  </si>
  <si>
    <r>
      <t>a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[mm] =</t>
    </r>
  </si>
  <si>
    <r>
      <t>a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[mm] =</t>
    </r>
  </si>
  <si>
    <r>
      <t>a</t>
    </r>
    <r>
      <rPr>
        <vertAlign val="subscript"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 xml:space="preserve"> [mm] =</t>
    </r>
  </si>
  <si>
    <r>
      <t>a</t>
    </r>
    <r>
      <rPr>
        <vertAlign val="subscript"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 xml:space="preserve"> [mm] =</t>
    </r>
  </si>
  <si>
    <r>
      <t>h</t>
    </r>
    <r>
      <rPr>
        <vertAlign val="subscript"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 xml:space="preserve"> [mm] =</t>
    </r>
  </si>
  <si>
    <r>
      <t>φ</t>
    </r>
    <r>
      <rPr>
        <vertAlign val="subscript"/>
        <sz val="10"/>
        <color indexed="53"/>
        <rFont val="Arial"/>
        <family val="2"/>
        <charset val="238"/>
      </rPr>
      <t>8</t>
    </r>
    <r>
      <rPr>
        <sz val="10"/>
        <color indexed="53"/>
        <rFont val="Arial"/>
        <family val="2"/>
        <charset val="238"/>
      </rPr>
      <t xml:space="preserve"> = </t>
    </r>
  </si>
  <si>
    <r>
      <t>φ</t>
    </r>
    <r>
      <rPr>
        <vertAlign val="subscript"/>
        <sz val="10"/>
        <color indexed="53"/>
        <rFont val="Arial"/>
        <family val="2"/>
        <charset val="238"/>
      </rPr>
      <t>6</t>
    </r>
    <r>
      <rPr>
        <sz val="10"/>
        <color indexed="53"/>
        <rFont val="Arial"/>
        <family val="2"/>
        <charset val="238"/>
      </rPr>
      <t xml:space="preserve"> = </t>
    </r>
  </si>
  <si>
    <r>
      <t>φ</t>
    </r>
    <r>
      <rPr>
        <vertAlign val="subscript"/>
        <sz val="10"/>
        <color indexed="53"/>
        <rFont val="Arial"/>
        <family val="2"/>
        <charset val="238"/>
      </rPr>
      <t>5</t>
    </r>
    <r>
      <rPr>
        <sz val="10"/>
        <color indexed="53"/>
        <rFont val="Arial"/>
        <family val="2"/>
        <charset val="238"/>
      </rPr>
      <t xml:space="preserve"> = </t>
    </r>
  </si>
  <si>
    <r>
      <t>φ</t>
    </r>
    <r>
      <rPr>
        <vertAlign val="subscript"/>
        <sz val="10"/>
        <color indexed="53"/>
        <rFont val="Arial"/>
        <family val="2"/>
        <charset val="238"/>
      </rPr>
      <t>4</t>
    </r>
    <r>
      <rPr>
        <sz val="10"/>
        <color indexed="53"/>
        <rFont val="Arial"/>
        <family val="2"/>
        <charset val="238"/>
      </rPr>
      <t xml:space="preserve"> = </t>
    </r>
  </si>
  <si>
    <t>A</t>
  </si>
  <si>
    <t>B</t>
  </si>
  <si>
    <t>C</t>
  </si>
  <si>
    <t>D</t>
  </si>
  <si>
    <r>
      <t>M</t>
    </r>
    <r>
      <rPr>
        <vertAlign val="subscript"/>
        <sz val="10"/>
        <color indexed="12"/>
        <rFont val="Arial"/>
        <family val="2"/>
        <charset val="238"/>
      </rPr>
      <t xml:space="preserve">celk </t>
    </r>
    <r>
      <rPr>
        <sz val="10"/>
        <color indexed="12"/>
        <rFont val="Arial"/>
        <family val="2"/>
        <charset val="238"/>
      </rPr>
      <t>[kNm/m] =</t>
    </r>
  </si>
  <si>
    <t>Entwurf der bewehrten Isolationselementen zwischen der Tragkonstruktion und dem Balkon              durch Geometrie und Belastung</t>
  </si>
  <si>
    <t>Entwurf der bewehrten Isolationselementen zwischen der Tragkonstruktion und dem Balkon               durch der Schnittkräften</t>
  </si>
  <si>
    <t>Aktion:</t>
  </si>
  <si>
    <t>Bauelement:</t>
  </si>
  <si>
    <t>Balkonteil:</t>
  </si>
  <si>
    <t>rand</t>
  </si>
  <si>
    <t>intern</t>
  </si>
  <si>
    <t>Geometrie des Balkons:</t>
  </si>
  <si>
    <t>Dicke des Balkons bei der Konstruktions</t>
  </si>
  <si>
    <t>Stützweite</t>
  </si>
  <si>
    <t>Geometrietyp der verbunden Tragkonstruktion:</t>
  </si>
  <si>
    <t>Dicke des Balkons am freiem Rand</t>
  </si>
  <si>
    <t>Belastung:</t>
  </si>
  <si>
    <t>charakteristisch</t>
  </si>
  <si>
    <t>design</t>
  </si>
  <si>
    <t xml:space="preserve">Kontinuier. Balkonflächenbelastung </t>
  </si>
  <si>
    <t xml:space="preserve">       ( permanente Fuβboden )</t>
  </si>
  <si>
    <t xml:space="preserve"> - am Anfang</t>
  </si>
  <si>
    <t xml:space="preserve"> - am Ende</t>
  </si>
  <si>
    <t>Diskontinuierliche Flächenbelastung</t>
  </si>
  <si>
    <t xml:space="preserve"> des Balkons ( Schnee, Nutzlast )</t>
  </si>
  <si>
    <t>Vertikal Linienbelastung</t>
  </si>
  <si>
    <t xml:space="preserve"> - Nutzlast</t>
  </si>
  <si>
    <t xml:space="preserve"> - Geländer - Nutzlast</t>
  </si>
  <si>
    <t xml:space="preserve"> - Geländer - perm. Belastung</t>
  </si>
  <si>
    <t xml:space="preserve"> - in der Achse des Holmes</t>
  </si>
  <si>
    <t xml:space="preserve">Horizontalbel. des Holmes </t>
  </si>
  <si>
    <t>Schnittkräfte in der Verankerung:</t>
  </si>
  <si>
    <t>Thermokörbenvorschlag:</t>
  </si>
  <si>
    <t>Abschluss:</t>
  </si>
  <si>
    <t>Arbeitszwischenergebnisse für den inneren Teil des Balkons :</t>
  </si>
  <si>
    <t>Wählende Werte:</t>
  </si>
  <si>
    <t>Isolationsdicke:</t>
  </si>
  <si>
    <t>Die Schwere der Isolationsschicht :</t>
  </si>
  <si>
    <t>Arbeiteszwischenergebnisse für den Vorschlag der Thermoblöcke</t>
  </si>
  <si>
    <t>Geometrietyp der verbunden Tragkonstruktion::</t>
  </si>
  <si>
    <r>
      <t>h</t>
    </r>
    <r>
      <rPr>
        <b/>
        <vertAlign val="subscript"/>
        <sz val="10"/>
        <color indexed="14"/>
        <rFont val="Arial"/>
        <family val="2"/>
        <charset val="238"/>
      </rPr>
      <t>1</t>
    </r>
    <r>
      <rPr>
        <b/>
        <sz val="10"/>
        <color indexed="14"/>
        <rFont val="Arial"/>
        <family val="2"/>
        <charset val="238"/>
      </rPr>
      <t xml:space="preserve"> [mm] =</t>
    </r>
  </si>
  <si>
    <t>Arbeiteszwischenergebnisse für den Vorschlag der Thermoblöcke nach Reduzierung folglich der Zugkraft:</t>
  </si>
  <si>
    <t>Reduktionsfaktoren den Einfluss der Zugkraft reflektieren :</t>
  </si>
  <si>
    <t>Arbeitszwischenergebnisse für den randen Teil des Balkons :</t>
  </si>
  <si>
    <r>
      <t>q</t>
    </r>
    <r>
      <rPr>
        <vertAlign val="subscript"/>
        <sz val="10"/>
        <color indexed="12"/>
        <rFont val="Arial"/>
        <family val="2"/>
        <charset val="238"/>
      </rPr>
      <t>d,h1</t>
    </r>
    <r>
      <rPr>
        <sz val="10"/>
        <color indexed="12"/>
        <rFont val="Arial"/>
        <family val="2"/>
        <charset val="238"/>
      </rPr>
      <t xml:space="preserve"> [kN/m</t>
    </r>
    <r>
      <rPr>
        <vertAlign val="superscript"/>
        <sz val="10"/>
        <color indexed="12"/>
        <rFont val="Arial"/>
        <family val="2"/>
        <charset val="238"/>
      </rPr>
      <t>2</t>
    </r>
    <r>
      <rPr>
        <sz val="10"/>
        <color indexed="12"/>
        <rFont val="Arial"/>
        <family val="2"/>
        <charset val="238"/>
      </rPr>
      <t>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</si>
  <si>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d,h2</t>
    </r>
    <r>
      <rPr>
        <sz val="10"/>
        <color indexed="12"/>
        <rFont val="Arial"/>
        <family val="2"/>
        <charset val="238"/>
      </rPr>
      <t xml:space="preserve"> [kN/m</t>
    </r>
    <r>
      <rPr>
        <vertAlign val="superscript"/>
        <sz val="10"/>
        <color indexed="12"/>
        <rFont val="Arial"/>
        <family val="2"/>
        <charset val="238"/>
      </rPr>
      <t>2</t>
    </r>
    <r>
      <rPr>
        <sz val="10"/>
        <color indexed="12"/>
        <rFont val="Arial"/>
        <family val="2"/>
        <charset val="238"/>
      </rPr>
      <t>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</si>
  <si>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h1</t>
    </r>
    <r>
      <rPr>
        <sz val="10"/>
        <color indexed="12"/>
        <rFont val="Arial"/>
        <family val="2"/>
        <charset val="238"/>
      </rPr>
      <t xml:space="preserve"> [kNm/m]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</si>
  <si>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h1</t>
    </r>
    <r>
      <rPr>
        <sz val="10"/>
        <color indexed="12"/>
        <rFont val="Arial"/>
        <family val="2"/>
        <charset val="238"/>
      </rPr>
      <t xml:space="preserve"> [kN/m] =</t>
    </r>
  </si>
  <si>
    <r>
      <t>Q</t>
    </r>
    <r>
      <rPr>
        <vertAlign val="subscript"/>
        <sz val="10"/>
        <color indexed="12"/>
        <rFont val="Arial"/>
        <family val="2"/>
        <charset val="238"/>
      </rPr>
      <t>h2</t>
    </r>
    <r>
      <rPr>
        <sz val="10"/>
        <color indexed="12"/>
        <rFont val="Arial"/>
        <family val="2"/>
        <charset val="238"/>
      </rPr>
      <t xml:space="preserve"> [kN/m] =</t>
    </r>
  </si>
  <si>
    <r>
      <t>M</t>
    </r>
    <r>
      <rPr>
        <vertAlign val="subscript"/>
        <sz val="10"/>
        <color indexed="12"/>
        <rFont val="Arial"/>
        <family val="2"/>
        <charset val="238"/>
      </rPr>
      <t>h2</t>
    </r>
    <r>
      <rPr>
        <sz val="10"/>
        <color indexed="12"/>
        <rFont val="Arial"/>
        <family val="2"/>
        <charset val="238"/>
      </rPr>
      <t xml:space="preserve"> [kNm/m] =</t>
    </r>
  </si>
  <si>
    <r>
      <t>M</t>
    </r>
    <r>
      <rPr>
        <b/>
        <vertAlign val="subscript"/>
        <sz val="10"/>
        <color indexed="12"/>
        <rFont val="Arial"/>
        <family val="2"/>
        <charset val="238"/>
      </rPr>
      <t>d,zus</t>
    </r>
    <r>
      <rPr>
        <b/>
        <sz val="10"/>
        <color indexed="12"/>
        <rFont val="Arial"/>
        <family val="2"/>
        <charset val="238"/>
      </rPr>
      <t xml:space="preserve"> [kNm/m] =</t>
    </r>
  </si>
  <si>
    <r>
      <t>V</t>
    </r>
    <r>
      <rPr>
        <b/>
        <vertAlign val="subscript"/>
        <sz val="10"/>
        <color indexed="12"/>
        <rFont val="Arial"/>
        <family val="2"/>
        <charset val="238"/>
      </rPr>
      <t>d,zus</t>
    </r>
    <r>
      <rPr>
        <b/>
        <sz val="10"/>
        <color indexed="12"/>
        <rFont val="Arial"/>
        <family val="2"/>
        <charset val="238"/>
      </rPr>
      <t xml:space="preserve"> [kN/m] =</t>
    </r>
  </si>
  <si>
    <r>
      <t>N</t>
    </r>
    <r>
      <rPr>
        <b/>
        <vertAlign val="subscript"/>
        <sz val="10"/>
        <color indexed="12"/>
        <rFont val="Arial"/>
        <family val="2"/>
        <charset val="238"/>
      </rPr>
      <t>d,zus</t>
    </r>
    <r>
      <rPr>
        <b/>
        <sz val="10"/>
        <color indexed="12"/>
        <rFont val="Arial"/>
        <family val="2"/>
        <charset val="238"/>
      </rPr>
      <t xml:space="preserve"> [kN/m] =</t>
    </r>
  </si>
  <si>
    <t>Art der Belastung</t>
  </si>
  <si>
    <r>
      <t>F</t>
    </r>
    <r>
      <rPr>
        <vertAlign val="subscript"/>
        <sz val="10"/>
        <color indexed="57"/>
        <rFont val="Arial"/>
        <family val="2"/>
        <charset val="238"/>
      </rPr>
      <t>h6</t>
    </r>
    <r>
      <rPr>
        <sz val="10"/>
        <color indexed="57"/>
        <rFont val="Arial"/>
        <family val="2"/>
        <charset val="238"/>
      </rPr>
      <t xml:space="preserve"> [kN/m] =</t>
    </r>
  </si>
  <si>
    <t>Arbeiteszwischenergebnisse für den Vorschlag der Thermoblöcke nach Reduzierung folglich wegen der Zugkraft</t>
  </si>
  <si>
    <t>Reduktionsfaktoren die Einfluss der Zugkraft berücksichtigen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</si>
</sst>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;[Red]\-0.00"/>
    <numFmt numFmtId="165" formatCode="0.000"/>
    <numFmt numFmtId="166" formatCode="0.0&quot;       &quot;"/>
    <numFmt numFmtId="167" formatCode="0.00&quot;     &quot;"/>
    <numFmt numFmtId="168" formatCode="00"/>
    <numFmt numFmtId="169" formatCode="0&quot; mm.&quot;"/>
  </numFmts>
  <fonts count="4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vertAlign val="superscript"/>
      <sz val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vertAlign val="subscript"/>
      <sz val="10"/>
      <color indexed="12"/>
      <name val="Arial"/>
      <family val="2"/>
      <charset val="238"/>
    </font>
    <font>
      <vertAlign val="superscript"/>
      <sz val="10"/>
      <color indexed="12"/>
      <name val="Arial"/>
      <family val="2"/>
      <charset val="238"/>
    </font>
    <font>
      <b/>
      <sz val="11"/>
      <color indexed="12"/>
      <name val="Times New Roman"/>
      <family val="1"/>
      <charset val="238"/>
    </font>
    <font>
      <sz val="10"/>
      <color indexed="61"/>
      <name val="Arial"/>
      <family val="2"/>
      <charset val="238"/>
    </font>
    <font>
      <vertAlign val="subscript"/>
      <sz val="10"/>
      <color indexed="61"/>
      <name val="Arial"/>
      <family val="2"/>
      <charset val="238"/>
    </font>
    <font>
      <b/>
      <sz val="11"/>
      <color indexed="61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3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vertAlign val="subscript"/>
      <sz val="10"/>
      <color indexed="60"/>
      <name val="Arial"/>
      <family val="2"/>
      <charset val="238"/>
    </font>
    <font>
      <b/>
      <sz val="10"/>
      <color indexed="61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vertAlign val="subscript"/>
      <sz val="10"/>
      <color indexed="57"/>
      <name val="Arial"/>
      <family val="2"/>
      <charset val="238"/>
    </font>
    <font>
      <b/>
      <sz val="14"/>
      <name val="Arial"/>
      <family val="2"/>
      <charset val="238"/>
    </font>
    <font>
      <b/>
      <vertAlign val="subscript"/>
      <sz val="10"/>
      <color indexed="12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vertAlign val="subscript"/>
      <sz val="10"/>
      <color indexed="53"/>
      <name val="Arial"/>
      <family val="2"/>
      <charset val="238"/>
    </font>
    <font>
      <b/>
      <sz val="10"/>
      <color indexed="42"/>
      <name val="Arial"/>
      <family val="2"/>
      <charset val="238"/>
    </font>
    <font>
      <sz val="10"/>
      <color indexed="42"/>
      <name val="Arial"/>
      <family val="2"/>
      <charset val="238"/>
    </font>
    <font>
      <b/>
      <sz val="10"/>
      <color indexed="46"/>
      <name val="Arial"/>
      <family val="2"/>
      <charset val="238"/>
    </font>
    <font>
      <sz val="10"/>
      <color indexed="46"/>
      <name val="Arial"/>
      <family val="2"/>
      <charset val="238"/>
    </font>
    <font>
      <b/>
      <sz val="10"/>
      <color indexed="14"/>
      <name val="Arial"/>
      <family val="2"/>
      <charset val="238"/>
    </font>
    <font>
      <b/>
      <vertAlign val="subscript"/>
      <sz val="10"/>
      <color indexed="14"/>
      <name val="Arial"/>
      <family val="2"/>
      <charset val="238"/>
    </font>
    <font>
      <sz val="10"/>
      <color indexed="14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2"/>
      <color indexed="57"/>
      <name val="Times New Roman"/>
      <family val="1"/>
      <charset val="238"/>
    </font>
    <font>
      <sz val="12"/>
      <color indexed="61"/>
      <name val="Times New Roman"/>
      <family val="1"/>
      <charset val="238"/>
    </font>
    <font>
      <sz val="12"/>
      <color indexed="5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" fillId="2" borderId="0" xfId="0" applyFont="1" applyFill="1"/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14" fontId="1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Protection="1">
      <protection hidden="1"/>
    </xf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4" fontId="1" fillId="3" borderId="2" xfId="0" applyNumberFormat="1" applyFont="1" applyFill="1" applyBorder="1"/>
    <xf numFmtId="0" fontId="0" fillId="3" borderId="2" xfId="0" applyFill="1" applyBorder="1"/>
    <xf numFmtId="3" fontId="5" fillId="2" borderId="0" xfId="0" applyNumberFormat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0" fontId="4" fillId="4" borderId="0" xfId="0" applyFont="1" applyFill="1" applyBorder="1"/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3" fillId="4" borderId="0" xfId="0" applyFont="1" applyFill="1" applyProtection="1">
      <protection hidden="1"/>
    </xf>
    <xf numFmtId="0" fontId="0" fillId="4" borderId="3" xfId="0" applyFill="1" applyBorder="1"/>
    <xf numFmtId="0" fontId="4" fillId="4" borderId="3" xfId="0" applyFont="1" applyFill="1" applyBorder="1" applyAlignment="1">
      <alignment horizontal="right"/>
    </xf>
    <xf numFmtId="0" fontId="3" fillId="4" borderId="3" xfId="0" applyFont="1" applyFill="1" applyBorder="1"/>
    <xf numFmtId="0" fontId="3" fillId="4" borderId="3" xfId="0" applyFont="1" applyFill="1" applyBorder="1" applyProtection="1">
      <protection hidden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left"/>
    </xf>
    <xf numFmtId="164" fontId="14" fillId="0" borderId="0" xfId="0" applyNumberFormat="1" applyFont="1" applyFill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right"/>
    </xf>
    <xf numFmtId="164" fontId="11" fillId="0" borderId="0" xfId="0" applyNumberFormat="1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2" fontId="8" fillId="0" borderId="0" xfId="0" applyNumberFormat="1" applyFont="1" applyFill="1" applyAlignment="1">
      <alignment horizontal="left"/>
    </xf>
    <xf numFmtId="0" fontId="7" fillId="0" borderId="1" xfId="0" applyFont="1" applyFill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166" fontId="0" fillId="0" borderId="5" xfId="0" applyNumberFormat="1" applyBorder="1"/>
    <xf numFmtId="167" fontId="0" fillId="0" borderId="5" xfId="0" applyNumberFormat="1" applyBorder="1"/>
    <xf numFmtId="167" fontId="1" fillId="0" borderId="5" xfId="0" applyNumberFormat="1" applyFont="1" applyBorder="1"/>
    <xf numFmtId="167" fontId="15" fillId="0" borderId="5" xfId="0" applyNumberFormat="1" applyFont="1" applyBorder="1"/>
    <xf numFmtId="2" fontId="0" fillId="0" borderId="5" xfId="0" applyNumberFormat="1" applyBorder="1" applyAlignment="1">
      <alignment horizontal="center"/>
    </xf>
    <xf numFmtId="167" fontId="1" fillId="3" borderId="5" xfId="0" applyNumberFormat="1" applyFont="1" applyFill="1" applyBorder="1"/>
    <xf numFmtId="167" fontId="15" fillId="3" borderId="5" xfId="0" applyNumberFormat="1" applyFont="1" applyFill="1" applyBorder="1"/>
    <xf numFmtId="0" fontId="0" fillId="5" borderId="0" xfId="0" applyFill="1"/>
    <xf numFmtId="0" fontId="7" fillId="5" borderId="0" xfId="0" applyFont="1" applyFill="1" applyAlignment="1">
      <alignment horizontal="right"/>
    </xf>
    <xf numFmtId="2" fontId="8" fillId="5" borderId="0" xfId="0" applyNumberFormat="1" applyFont="1" applyFill="1" applyAlignment="1">
      <alignment horizontal="left"/>
    </xf>
    <xf numFmtId="0" fontId="16" fillId="5" borderId="0" xfId="0" applyFont="1" applyFill="1"/>
    <xf numFmtId="0" fontId="8" fillId="6" borderId="5" xfId="0" applyFont="1" applyFill="1" applyBorder="1"/>
    <xf numFmtId="0" fontId="0" fillId="6" borderId="5" xfId="0" applyFill="1" applyBorder="1"/>
    <xf numFmtId="2" fontId="8" fillId="6" borderId="5" xfId="0" applyNumberFormat="1" applyFont="1" applyFill="1" applyBorder="1" applyAlignment="1">
      <alignment horizontal="left"/>
    </xf>
    <xf numFmtId="0" fontId="17" fillId="5" borderId="0" xfId="0" applyFont="1" applyFill="1"/>
    <xf numFmtId="0" fontId="17" fillId="5" borderId="0" xfId="0" applyFont="1" applyFill="1" applyAlignment="1">
      <alignment horizontal="right"/>
    </xf>
    <xf numFmtId="0" fontId="18" fillId="0" borderId="0" xfId="0" applyFont="1" applyFill="1"/>
    <xf numFmtId="0" fontId="19" fillId="0" borderId="0" xfId="0" applyFont="1"/>
    <xf numFmtId="0" fontId="19" fillId="0" borderId="0" xfId="0" applyFont="1" applyFill="1" applyAlignment="1">
      <alignment horizontal="right"/>
    </xf>
    <xf numFmtId="2" fontId="18" fillId="0" borderId="0" xfId="0" applyNumberFormat="1" applyFont="1" applyFill="1" applyAlignment="1">
      <alignment horizontal="left"/>
    </xf>
    <xf numFmtId="165" fontId="18" fillId="0" borderId="0" xfId="0" applyNumberFormat="1" applyFont="1" applyAlignment="1">
      <alignment horizontal="left"/>
    </xf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23" fillId="0" borderId="0" xfId="0" applyFont="1" applyFill="1" applyAlignment="1">
      <alignment horizontal="right"/>
    </xf>
    <xf numFmtId="2" fontId="22" fillId="0" borderId="0" xfId="0" applyNumberFormat="1" applyFont="1" applyAlignment="1">
      <alignment horizontal="left"/>
    </xf>
    <xf numFmtId="0" fontId="23" fillId="0" borderId="1" xfId="0" applyFont="1" applyBorder="1"/>
    <xf numFmtId="168" fontId="1" fillId="0" borderId="0" xfId="0" applyNumberFormat="1" applyFont="1"/>
    <xf numFmtId="0" fontId="0" fillId="4" borderId="0" xfId="0" applyFill="1" applyBorder="1"/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 applyProtection="1">
      <protection hidden="1"/>
    </xf>
    <xf numFmtId="0" fontId="1" fillId="0" borderId="0" xfId="0" applyFont="1" applyBorder="1"/>
    <xf numFmtId="14" fontId="1" fillId="0" borderId="0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164" fontId="5" fillId="4" borderId="0" xfId="0" applyNumberFormat="1" applyFont="1" applyFill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0" fontId="5" fillId="0" borderId="1" xfId="0" applyFont="1" applyFill="1" applyBorder="1" applyProtection="1">
      <protection locked="0"/>
    </xf>
    <xf numFmtId="3" fontId="5" fillId="0" borderId="0" xfId="0" applyNumberFormat="1" applyFont="1" applyFill="1" applyAlignment="1" applyProtection="1">
      <alignment horizontal="left"/>
      <protection locked="0"/>
    </xf>
    <xf numFmtId="3" fontId="5" fillId="0" borderId="1" xfId="0" applyNumberFormat="1" applyFont="1" applyFill="1" applyBorder="1" applyAlignment="1" applyProtection="1">
      <alignment horizontal="left"/>
      <protection locked="0"/>
    </xf>
    <xf numFmtId="164" fontId="5" fillId="7" borderId="0" xfId="0" applyNumberFormat="1" applyFont="1" applyFill="1" applyAlignment="1" applyProtection="1">
      <alignment horizontal="left"/>
      <protection locked="0"/>
    </xf>
    <xf numFmtId="164" fontId="5" fillId="7" borderId="3" xfId="0" applyNumberFormat="1" applyFont="1" applyFill="1" applyBorder="1" applyAlignment="1" applyProtection="1">
      <alignment horizontal="left"/>
      <protection locked="0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3" fontId="5" fillId="0" borderId="0" xfId="0" applyNumberFormat="1" applyFont="1" applyFill="1" applyBorder="1" applyAlignment="1" applyProtection="1">
      <alignment horizontal="left"/>
      <protection locked="0"/>
    </xf>
    <xf numFmtId="14" fontId="4" fillId="0" borderId="0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7" fillId="4" borderId="0" xfId="0" applyFont="1" applyFill="1" applyAlignment="1">
      <alignment horizontal="right"/>
    </xf>
    <xf numFmtId="164" fontId="11" fillId="4" borderId="0" xfId="0" applyNumberFormat="1" applyFont="1" applyFill="1" applyAlignment="1">
      <alignment horizontal="left"/>
    </xf>
    <xf numFmtId="0" fontId="7" fillId="4" borderId="0" xfId="0" applyFont="1" applyFill="1"/>
    <xf numFmtId="0" fontId="7" fillId="4" borderId="3" xfId="0" applyFont="1" applyFill="1" applyBorder="1" applyAlignment="1">
      <alignment horizontal="right"/>
    </xf>
    <xf numFmtId="164" fontId="11" fillId="4" borderId="3" xfId="0" applyNumberFormat="1" applyFont="1" applyFill="1" applyBorder="1" applyAlignment="1">
      <alignment horizontal="left"/>
    </xf>
    <xf numFmtId="0" fontId="7" fillId="4" borderId="3" xfId="0" applyFont="1" applyFill="1" applyBorder="1"/>
    <xf numFmtId="0" fontId="8" fillId="6" borderId="5" xfId="0" applyFont="1" applyFill="1" applyBorder="1" applyAlignment="1">
      <alignment horizontal="right"/>
    </xf>
    <xf numFmtId="2" fontId="8" fillId="0" borderId="5" xfId="0" applyNumberFormat="1" applyFont="1" applyFill="1" applyBorder="1" applyAlignment="1" applyProtection="1">
      <alignment horizontal="left"/>
      <protection locked="0"/>
    </xf>
    <xf numFmtId="0" fontId="27" fillId="0" borderId="0" xfId="0" applyFont="1" applyFill="1" applyAlignment="1">
      <alignment horizontal="left"/>
    </xf>
    <xf numFmtId="2" fontId="27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right"/>
    </xf>
    <xf numFmtId="2" fontId="27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165" fontId="28" fillId="0" borderId="0" xfId="0" applyNumberFormat="1" applyFont="1" applyAlignment="1">
      <alignment horizontal="left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2" borderId="0" xfId="0" applyFont="1" applyFill="1" applyAlignment="1">
      <alignment horizontal="right"/>
    </xf>
    <xf numFmtId="0" fontId="36" fillId="0" borderId="0" xfId="0" applyFont="1"/>
    <xf numFmtId="0" fontId="37" fillId="0" borderId="0" xfId="0" applyFont="1"/>
    <xf numFmtId="0" fontId="37" fillId="3" borderId="0" xfId="0" applyFont="1" applyFill="1" applyBorder="1"/>
    <xf numFmtId="2" fontId="7" fillId="0" borderId="0" xfId="0" applyNumberFormat="1" applyFont="1" applyFill="1" applyAlignment="1">
      <alignment horizontal="left"/>
    </xf>
    <xf numFmtId="0" fontId="38" fillId="0" borderId="0" xfId="0" applyFont="1"/>
    <xf numFmtId="0" fontId="0" fillId="4" borderId="0" xfId="0" applyFill="1" applyAlignment="1">
      <alignment horizontal="right"/>
    </xf>
    <xf numFmtId="169" fontId="16" fillId="5" borderId="0" xfId="0" applyNumberFormat="1" applyFont="1" applyFill="1" applyAlignment="1">
      <alignment horizontal="left"/>
    </xf>
    <xf numFmtId="0" fontId="39" fillId="0" borderId="0" xfId="0" applyFont="1"/>
    <xf numFmtId="0" fontId="1" fillId="0" borderId="0" xfId="0" applyFont="1" applyFill="1" applyAlignment="1" applyProtection="1">
      <alignment horizontal="center" vertical="center"/>
      <protection locked="0"/>
    </xf>
    <xf numFmtId="3" fontId="0" fillId="0" borderId="0" xfId="0" applyNumberFormat="1"/>
    <xf numFmtId="0" fontId="17" fillId="0" borderId="0" xfId="0" applyFont="1"/>
    <xf numFmtId="0" fontId="17" fillId="8" borderId="0" xfId="0" applyFont="1" applyFill="1"/>
    <xf numFmtId="0" fontId="40" fillId="0" borderId="0" xfId="0" applyFont="1"/>
    <xf numFmtId="0" fontId="17" fillId="5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25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4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2" xfId="0" applyFont="1" applyFill="1" applyBorder="1" applyAlignment="1" applyProtection="1">
      <protection locked="0"/>
    </xf>
    <xf numFmtId="22" fontId="0" fillId="0" borderId="0" xfId="0" applyNumberFormat="1" applyBorder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0" fillId="0" borderId="4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7</xdr:col>
      <xdr:colOff>361950</xdr:colOff>
      <xdr:row>9</xdr:row>
      <xdr:rowOff>247650</xdr:rowOff>
    </xdr:to>
    <xdr:pic>
      <xdr:nvPicPr>
        <xdr:cNvPr id="1102" name="Picture 3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581025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200025</xdr:colOff>
      <xdr:row>10</xdr:row>
      <xdr:rowOff>0</xdr:rowOff>
    </xdr:from>
    <xdr:to>
      <xdr:col>12</xdr:col>
      <xdr:colOff>371475</xdr:colOff>
      <xdr:row>15</xdr:row>
      <xdr:rowOff>152400</xdr:rowOff>
    </xdr:to>
    <xdr:pic>
      <xdr:nvPicPr>
        <xdr:cNvPr id="1103" name="Picture 46" descr="Skicy_do_programu-0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514475"/>
          <a:ext cx="2038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13</xdr:col>
      <xdr:colOff>600075</xdr:colOff>
      <xdr:row>78</xdr:row>
      <xdr:rowOff>0</xdr:rowOff>
    </xdr:to>
    <xdr:pic>
      <xdr:nvPicPr>
        <xdr:cNvPr id="110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"/>
          <a:ext cx="8924925" cy="479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4</xdr:row>
      <xdr:rowOff>9525</xdr:rowOff>
    </xdr:from>
    <xdr:to>
      <xdr:col>7</xdr:col>
      <xdr:colOff>352425</xdr:colOff>
      <xdr:row>8</xdr:row>
      <xdr:rowOff>19050</xdr:rowOff>
    </xdr:to>
    <xdr:pic>
      <xdr:nvPicPr>
        <xdr:cNvPr id="3097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619125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13</xdr:col>
      <xdr:colOff>600075</xdr:colOff>
      <xdr:row>42</xdr:row>
      <xdr:rowOff>9525</xdr:rowOff>
    </xdr:to>
    <xdr:pic>
      <xdr:nvPicPr>
        <xdr:cNvPr id="309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"/>
          <a:ext cx="8839200" cy="433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tabSelected="1" topLeftCell="A22" zoomScaleNormal="100" zoomScaleSheetLayoutView="100" workbookViewId="0">
      <selection activeCell="L6" sqref="L6:M6"/>
    </sheetView>
  </sheetViews>
  <sheetFormatPr defaultRowHeight="12.75" x14ac:dyDescent="0.2"/>
  <cols>
    <col min="2" max="2" width="12.140625" customWidth="1"/>
    <col min="5" max="5" width="11.85546875" customWidth="1"/>
    <col min="6" max="6" width="5.5703125" customWidth="1"/>
    <col min="7" max="7" width="11.28515625" customWidth="1"/>
    <col min="8" max="8" width="10.42578125" bestFit="1" customWidth="1"/>
    <col min="9" max="9" width="9.5703125" bestFit="1" customWidth="1"/>
    <col min="10" max="10" width="9.42578125" bestFit="1" customWidth="1"/>
    <col min="12" max="12" width="9.42578125" customWidth="1"/>
    <col min="13" max="13" width="8.5703125" customWidth="1"/>
    <col min="16" max="16" width="9.140625" hidden="1" customWidth="1"/>
    <col min="17" max="17" width="11.85546875" hidden="1" customWidth="1"/>
    <col min="18" max="18" width="11.28515625" hidden="1" customWidth="1"/>
    <col min="19" max="19" width="16.42578125" hidden="1" customWidth="1"/>
    <col min="20" max="20" width="18.7109375" hidden="1" customWidth="1"/>
    <col min="21" max="21" width="9.140625" hidden="1" customWidth="1"/>
    <col min="22" max="22" width="9.28515625" hidden="1" customWidth="1"/>
    <col min="23" max="23" width="9.42578125" hidden="1" customWidth="1"/>
    <col min="24" max="26" width="9.28515625" hidden="1" customWidth="1"/>
  </cols>
  <sheetData>
    <row r="1" spans="1:26" ht="39.75" customHeight="1" x14ac:dyDescent="0.2">
      <c r="A1" s="128" t="s">
        <v>106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26" ht="19.5" hidden="1" customHeight="1" x14ac:dyDescent="0.2">
      <c r="A2" s="1" t="s">
        <v>0</v>
      </c>
      <c r="B2" s="74">
        <v>1</v>
      </c>
    </row>
    <row r="3" spans="1:26" ht="12.75" hidden="1" customHeight="1" x14ac:dyDescent="0.2">
      <c r="A3" s="8" t="s">
        <v>1</v>
      </c>
      <c r="B3" s="9">
        <v>42334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6" ht="6" customHeight="1" x14ac:dyDescent="0.2">
      <c r="A4" s="78"/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26" ht="12.75" customHeight="1" x14ac:dyDescent="0.2">
      <c r="A5" s="78" t="s">
        <v>108</v>
      </c>
      <c r="B5" s="91" t="s">
        <v>68</v>
      </c>
      <c r="C5" s="92"/>
      <c r="D5" s="92"/>
      <c r="E5" s="80"/>
      <c r="F5" s="80"/>
      <c r="G5" s="80"/>
      <c r="J5" s="129" t="s">
        <v>109</v>
      </c>
      <c r="K5" s="129"/>
      <c r="L5" s="92" t="s">
        <v>70</v>
      </c>
      <c r="M5" s="92"/>
      <c r="N5" s="92"/>
    </row>
    <row r="6" spans="1:26" ht="12.75" customHeight="1" x14ac:dyDescent="0.2">
      <c r="A6" s="78" t="s">
        <v>67</v>
      </c>
      <c r="B6" s="91" t="s">
        <v>69</v>
      </c>
      <c r="C6" s="92"/>
      <c r="D6" s="92"/>
      <c r="E6" s="80"/>
      <c r="F6" s="80"/>
      <c r="G6" s="80"/>
      <c r="H6" s="80"/>
      <c r="I6" s="80"/>
      <c r="J6" s="80"/>
      <c r="K6" s="81" t="s">
        <v>1</v>
      </c>
      <c r="L6" s="135">
        <f ca="1">NOW()</f>
        <v>42471.401508449075</v>
      </c>
      <c r="M6" s="135"/>
      <c r="N6" s="92"/>
    </row>
    <row r="7" spans="1:26" ht="6" customHeight="1" x14ac:dyDescent="0.2">
      <c r="A7" s="78"/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6" ht="6" customHeight="1" x14ac:dyDescent="0.2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26" ht="15" customHeight="1" x14ac:dyDescent="0.2">
      <c r="A9" s="18" t="s">
        <v>110</v>
      </c>
      <c r="B9" s="6"/>
      <c r="C9" s="84" t="s">
        <v>111</v>
      </c>
      <c r="D9" s="17"/>
      <c r="E9" s="6"/>
      <c r="F9" s="6"/>
      <c r="G9" s="6"/>
      <c r="H9" s="6"/>
      <c r="I9" s="6"/>
      <c r="J9" s="6"/>
      <c r="K9" s="6"/>
      <c r="L9" s="6"/>
      <c r="M9" s="6"/>
      <c r="N9" s="6"/>
      <c r="P9" s="37"/>
      <c r="Q9" s="38" t="s">
        <v>136</v>
      </c>
      <c r="R9" s="37"/>
      <c r="S9" s="37"/>
      <c r="U9" s="68" t="s">
        <v>137</v>
      </c>
      <c r="V9" s="33"/>
      <c r="W9" s="33"/>
    </row>
    <row r="10" spans="1:26" ht="21" customHeight="1" x14ac:dyDescent="0.25">
      <c r="A10" s="5" t="s">
        <v>113</v>
      </c>
      <c r="B10" s="3"/>
      <c r="C10" s="3"/>
      <c r="D10" s="3"/>
      <c r="E10" s="3"/>
      <c r="F10" s="3"/>
      <c r="G10" s="3"/>
      <c r="H10" s="3"/>
      <c r="I10" s="5" t="s">
        <v>116</v>
      </c>
      <c r="J10" s="12"/>
      <c r="K10" s="12"/>
      <c r="L10" s="12"/>
      <c r="M10" s="12"/>
      <c r="N10" s="121" t="s">
        <v>102</v>
      </c>
      <c r="P10" s="37"/>
      <c r="Q10" s="37"/>
      <c r="R10" s="37"/>
      <c r="S10" s="37"/>
      <c r="U10" s="120" t="s">
        <v>138</v>
      </c>
      <c r="V10" s="33"/>
      <c r="W10" s="33"/>
      <c r="X10" s="33" t="s">
        <v>139</v>
      </c>
      <c r="Y10" s="33"/>
    </row>
    <row r="11" spans="1:26" ht="6" customHeight="1" x14ac:dyDescent="0.2">
      <c r="A11" s="5"/>
      <c r="B11" s="3"/>
      <c r="C11" s="3"/>
      <c r="D11" s="3"/>
      <c r="E11" s="3"/>
      <c r="F11" s="3"/>
      <c r="G11" s="3"/>
      <c r="H11" s="3"/>
      <c r="I11" s="12"/>
      <c r="J11" s="12"/>
      <c r="K11" s="12"/>
      <c r="L11" s="12"/>
      <c r="M11" s="12"/>
      <c r="N11" s="12"/>
      <c r="P11" s="37"/>
      <c r="Q11" s="37"/>
      <c r="R11" s="37"/>
      <c r="S11" s="37"/>
      <c r="U11" s="33"/>
      <c r="V11" s="33"/>
      <c r="W11" s="33"/>
    </row>
    <row r="12" spans="1:26" ht="15" customHeight="1" x14ac:dyDescent="0.3">
      <c r="A12" s="3"/>
      <c r="B12" s="3" t="s">
        <v>114</v>
      </c>
      <c r="C12" s="3"/>
      <c r="D12" s="3"/>
      <c r="E12" s="3"/>
      <c r="F12" s="3"/>
      <c r="G12" s="4" t="s">
        <v>90</v>
      </c>
      <c r="H12" s="85">
        <v>180</v>
      </c>
      <c r="I12" s="13"/>
      <c r="J12" s="12"/>
      <c r="K12" s="12"/>
      <c r="L12" s="12"/>
      <c r="M12" s="12"/>
      <c r="N12" s="12"/>
      <c r="P12" s="37"/>
      <c r="Q12" s="39" t="s">
        <v>146</v>
      </c>
      <c r="R12" s="40">
        <f>IF(OR(H12=160,H12=180,H12=200,H12=220),25*1.35*H12/1000,"!!! Reparieren h1")</f>
        <v>6.0750000000000002</v>
      </c>
      <c r="U12" s="34" t="s">
        <v>7</v>
      </c>
      <c r="V12" s="35">
        <v>120</v>
      </c>
      <c r="W12" s="33"/>
      <c r="X12" s="34" t="s">
        <v>8</v>
      </c>
      <c r="Y12" s="36">
        <v>5</v>
      </c>
      <c r="Z12" s="33"/>
    </row>
    <row r="13" spans="1:26" ht="6" customHeight="1" x14ac:dyDescent="0.2">
      <c r="A13" s="3"/>
      <c r="B13" s="3"/>
      <c r="C13" s="3"/>
      <c r="D13" s="3"/>
      <c r="E13" s="3"/>
      <c r="F13" s="3"/>
      <c r="G13" s="4"/>
      <c r="H13" s="22"/>
      <c r="I13" s="13"/>
      <c r="J13" s="12"/>
      <c r="K13" s="12"/>
      <c r="L13" s="12"/>
      <c r="M13" s="12"/>
      <c r="N13" s="12"/>
      <c r="P13" s="37"/>
      <c r="Q13" s="37"/>
      <c r="R13" s="37"/>
      <c r="S13" s="37"/>
      <c r="U13" s="33"/>
      <c r="V13" s="33"/>
      <c r="W13" s="33"/>
    </row>
    <row r="14" spans="1:26" ht="15.75" x14ac:dyDescent="0.3">
      <c r="A14" s="3"/>
      <c r="B14" s="3" t="s">
        <v>117</v>
      </c>
      <c r="C14" s="3"/>
      <c r="D14" s="3"/>
      <c r="E14" s="3"/>
      <c r="F14" s="3"/>
      <c r="G14" s="4" t="s">
        <v>91</v>
      </c>
      <c r="H14" s="85">
        <v>250</v>
      </c>
      <c r="I14" s="14"/>
      <c r="J14" s="12"/>
      <c r="K14" s="12"/>
      <c r="L14" s="12"/>
      <c r="M14" s="12"/>
      <c r="N14" s="12"/>
      <c r="P14" s="37"/>
      <c r="Q14" s="39" t="s">
        <v>147</v>
      </c>
      <c r="R14" s="40">
        <f>IF(AND(H14&gt;49,H14&lt;401),25*1.35*H14/1000,"!!! reparieren h2")</f>
        <v>8.4375</v>
      </c>
      <c r="U14" s="69" t="s">
        <v>145</v>
      </c>
    </row>
    <row r="15" spans="1:26" ht="6" customHeight="1" x14ac:dyDescent="0.2">
      <c r="A15" s="3"/>
      <c r="B15" s="3"/>
      <c r="C15" s="3"/>
      <c r="D15" s="3"/>
      <c r="E15" s="3"/>
      <c r="F15" s="3"/>
      <c r="G15" s="4"/>
      <c r="H15" s="22"/>
      <c r="I15" s="14"/>
      <c r="J15" s="12"/>
      <c r="K15" s="12"/>
      <c r="L15" s="12"/>
      <c r="M15" s="12"/>
      <c r="N15" s="12"/>
      <c r="P15" s="37"/>
      <c r="Q15" s="37"/>
      <c r="R15" s="37"/>
      <c r="S15" s="37"/>
      <c r="U15" s="33"/>
      <c r="V15" s="33"/>
      <c r="W15" s="33"/>
    </row>
    <row r="16" spans="1:26" ht="15.75" x14ac:dyDescent="0.3">
      <c r="A16" s="10"/>
      <c r="B16" s="10" t="s">
        <v>115</v>
      </c>
      <c r="C16" s="10"/>
      <c r="D16" s="10"/>
      <c r="E16" s="10"/>
      <c r="F16" s="10"/>
      <c r="G16" s="11" t="s">
        <v>6</v>
      </c>
      <c r="H16" s="86">
        <v>1500</v>
      </c>
      <c r="I16" s="15"/>
      <c r="J16" s="16"/>
      <c r="K16" s="16"/>
      <c r="L16" s="16"/>
      <c r="M16" s="16"/>
      <c r="N16" s="16"/>
      <c r="P16" s="37"/>
      <c r="Q16" s="39" t="s">
        <v>148</v>
      </c>
      <c r="R16" s="42">
        <f>T16*((H16-V12)/3+V12)/1000</f>
        <v>2.4312150000000003</v>
      </c>
      <c r="S16" s="39" t="s">
        <v>149</v>
      </c>
      <c r="T16" s="41">
        <f>IF(AND(H16&gt;299,H16&lt;3501),(H16-V12)/1000*R12/2,"!!! reparieren L")</f>
        <v>4.1917499999999999</v>
      </c>
    </row>
    <row r="17" spans="1:23" ht="21" customHeight="1" x14ac:dyDescent="0.3">
      <c r="A17" s="23" t="s">
        <v>118</v>
      </c>
      <c r="B17" s="24"/>
      <c r="C17" s="134" t="s">
        <v>119</v>
      </c>
      <c r="D17" s="134"/>
      <c r="E17" s="24"/>
      <c r="F17" s="24"/>
      <c r="G17" s="24"/>
      <c r="H17" s="24"/>
      <c r="I17" s="24"/>
      <c r="J17" s="24"/>
      <c r="K17" s="24"/>
      <c r="L17" s="24"/>
      <c r="M17" s="24"/>
      <c r="N17" s="24"/>
      <c r="P17" s="37"/>
      <c r="Q17" s="39" t="s">
        <v>151</v>
      </c>
      <c r="R17" s="42">
        <f>T17*((H16-V12)/3*2+V12)/1000</f>
        <v>6.0547499999999994</v>
      </c>
      <c r="S17" s="39" t="s">
        <v>150</v>
      </c>
      <c r="T17" s="41">
        <f>IF(AND(H16&gt;299,H16&lt;3501),(H16-V12)/1000*R14/2,"!!! reparieren L")</f>
        <v>5.8218749999999995</v>
      </c>
    </row>
    <row r="18" spans="1:23" ht="6" customHeight="1" x14ac:dyDescent="0.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P18" s="37"/>
      <c r="Q18" s="37"/>
      <c r="R18" s="37"/>
      <c r="S18" s="37"/>
      <c r="U18" s="33"/>
      <c r="V18" s="33"/>
      <c r="W18" s="33"/>
    </row>
    <row r="19" spans="1:23" ht="15" customHeight="1" x14ac:dyDescent="0.3">
      <c r="A19" s="24"/>
      <c r="B19" s="25" t="s">
        <v>121</v>
      </c>
      <c r="C19" s="24"/>
      <c r="D19" s="24"/>
      <c r="E19" s="24" t="s">
        <v>123</v>
      </c>
      <c r="F19" s="24"/>
      <c r="G19" s="26" t="s">
        <v>3</v>
      </c>
      <c r="H19" s="87">
        <v>2</v>
      </c>
      <c r="I19" s="27"/>
      <c r="J19" s="24"/>
      <c r="K19" s="93" t="s">
        <v>80</v>
      </c>
      <c r="L19" s="94">
        <f>IF(C17="design",H19,H19*1.35)</f>
        <v>2.7</v>
      </c>
      <c r="M19" s="82"/>
      <c r="N19" s="24"/>
      <c r="P19" s="37"/>
      <c r="Q19" s="39" t="s">
        <v>10</v>
      </c>
      <c r="R19" s="42">
        <f>T19*H16/3/1000</f>
        <v>1.0125000000000002</v>
      </c>
      <c r="S19" s="39" t="s">
        <v>9</v>
      </c>
      <c r="T19" s="41">
        <f>IF(AND(H19&gt;-0.00001,H19&lt;50.000001),H16/1000*L19/2,"!!! reparieren q1")</f>
        <v>2.0250000000000004</v>
      </c>
    </row>
    <row r="20" spans="1:23" ht="6" customHeight="1" x14ac:dyDescent="0.2">
      <c r="A20" s="24"/>
      <c r="B20" s="130" t="s">
        <v>122</v>
      </c>
      <c r="C20" s="131"/>
      <c r="D20" s="131"/>
      <c r="E20" s="24"/>
      <c r="F20" s="24"/>
      <c r="G20" s="24"/>
      <c r="H20" s="24"/>
      <c r="I20" s="24"/>
      <c r="J20" s="24"/>
      <c r="K20" s="95"/>
      <c r="L20" s="95"/>
      <c r="M20" s="24"/>
      <c r="N20" s="24"/>
      <c r="P20" s="37"/>
      <c r="Q20" s="37"/>
      <c r="R20" s="37"/>
      <c r="S20" s="37"/>
    </row>
    <row r="21" spans="1:23" ht="15" customHeight="1" x14ac:dyDescent="0.3">
      <c r="A21" s="24"/>
      <c r="B21" s="132"/>
      <c r="C21" s="132"/>
      <c r="D21" s="132"/>
      <c r="E21" s="29" t="s">
        <v>124</v>
      </c>
      <c r="F21" s="29"/>
      <c r="G21" s="30" t="s">
        <v>2</v>
      </c>
      <c r="H21" s="88">
        <v>3</v>
      </c>
      <c r="I21" s="31"/>
      <c r="J21" s="29"/>
      <c r="K21" s="96" t="s">
        <v>81</v>
      </c>
      <c r="L21" s="97">
        <f>IF(C17="design",H21,H21*1.35)</f>
        <v>4.0500000000000007</v>
      </c>
      <c r="M21" s="83"/>
      <c r="N21" s="24"/>
      <c r="P21" s="37"/>
      <c r="Q21" s="39" t="s">
        <v>12</v>
      </c>
      <c r="R21" s="42">
        <f>T21*H16/3*2/1000</f>
        <v>3.0375000000000005</v>
      </c>
      <c r="S21" s="39" t="s">
        <v>11</v>
      </c>
      <c r="T21" s="41">
        <f>IF(AND(H21&gt;-0.00001,H21&lt;50.000001),H16/1000*L21/2,"!!! reparieren q2")</f>
        <v>3.0375000000000005</v>
      </c>
    </row>
    <row r="22" spans="1:23" ht="6" customHeight="1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95"/>
      <c r="L22" s="95"/>
      <c r="M22" s="24"/>
      <c r="N22" s="24"/>
      <c r="P22" s="37"/>
      <c r="Q22" s="37"/>
      <c r="R22" s="37"/>
      <c r="S22" s="37"/>
    </row>
    <row r="23" spans="1:23" ht="15" customHeight="1" x14ac:dyDescent="0.3">
      <c r="A23" s="24"/>
      <c r="B23" s="24" t="s">
        <v>125</v>
      </c>
      <c r="C23" s="24"/>
      <c r="D23" s="24"/>
      <c r="E23" s="24" t="s">
        <v>123</v>
      </c>
      <c r="F23" s="24"/>
      <c r="G23" s="26" t="s">
        <v>5</v>
      </c>
      <c r="H23" s="87">
        <v>5</v>
      </c>
      <c r="I23" s="27"/>
      <c r="J23" s="24"/>
      <c r="K23" s="93" t="s">
        <v>82</v>
      </c>
      <c r="L23" s="94">
        <f>IF(C17="design",H23,H23*1.5)</f>
        <v>7.5</v>
      </c>
      <c r="M23" s="24"/>
      <c r="N23" s="24"/>
      <c r="P23" s="37"/>
      <c r="Q23" s="39" t="s">
        <v>13</v>
      </c>
      <c r="R23" s="42">
        <f>T23*(I25+(I29-I25)/3)/1000</f>
        <v>3.15</v>
      </c>
      <c r="S23" s="39" t="s">
        <v>14</v>
      </c>
      <c r="T23" s="41">
        <f>IF(AND(AND(H23&gt;-0.00001,H23&lt;50.000001),AND(I25&gt;-0.00001,I25&lt;H16+0.00001)),(I29-I25)/1000*L23/2,"!!! reparieren q3 oder L3")</f>
        <v>4.5</v>
      </c>
    </row>
    <row r="24" spans="1:23" ht="6" customHeight="1" x14ac:dyDescent="0.2">
      <c r="A24" s="23"/>
      <c r="B24" s="130" t="s">
        <v>126</v>
      </c>
      <c r="C24" s="133"/>
      <c r="D24" s="133"/>
      <c r="E24" s="24"/>
      <c r="F24" s="24"/>
      <c r="G24" s="24"/>
      <c r="H24" s="24"/>
      <c r="I24" s="24"/>
      <c r="J24" s="24"/>
      <c r="K24" s="95"/>
      <c r="L24" s="95"/>
      <c r="M24" s="24"/>
      <c r="N24" s="24"/>
      <c r="P24" s="37"/>
      <c r="Q24" s="37"/>
      <c r="R24" s="37"/>
      <c r="S24" s="37"/>
    </row>
    <row r="25" spans="1:23" ht="15" customHeight="1" x14ac:dyDescent="0.3">
      <c r="A25" s="24"/>
      <c r="B25" s="133"/>
      <c r="C25" s="133"/>
      <c r="D25" s="133"/>
      <c r="E25" s="24"/>
      <c r="F25" s="24"/>
      <c r="G25" s="26"/>
      <c r="H25" s="26" t="s">
        <v>92</v>
      </c>
      <c r="I25" s="85">
        <v>300</v>
      </c>
      <c r="J25" s="28"/>
      <c r="K25" s="95"/>
      <c r="L25" s="95"/>
      <c r="M25" s="24"/>
      <c r="N25" s="24"/>
      <c r="P25" s="37"/>
      <c r="Q25" s="39" t="s">
        <v>39</v>
      </c>
      <c r="R25" s="42">
        <f>T25*V12/1000/2</f>
        <v>8.7480000000000006E-3</v>
      </c>
      <c r="S25" s="39" t="s">
        <v>40</v>
      </c>
      <c r="T25" s="41">
        <f>V12*Y12*H12/1000000*1.35</f>
        <v>0.14580000000000001</v>
      </c>
    </row>
    <row r="26" spans="1:23" ht="6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95"/>
      <c r="L26" s="95"/>
      <c r="M26" s="24"/>
      <c r="N26" s="24"/>
      <c r="P26" s="37"/>
      <c r="Q26" s="37"/>
      <c r="R26" s="37"/>
      <c r="S26" s="37"/>
    </row>
    <row r="27" spans="1:23" ht="15" customHeight="1" x14ac:dyDescent="0.3">
      <c r="A27" s="24"/>
      <c r="B27" s="24"/>
      <c r="C27" s="24"/>
      <c r="D27" s="24"/>
      <c r="E27" s="75" t="s">
        <v>124</v>
      </c>
      <c r="F27" s="24"/>
      <c r="G27" s="26" t="s">
        <v>4</v>
      </c>
      <c r="H27" s="87">
        <v>5</v>
      </c>
      <c r="I27" s="27"/>
      <c r="J27" s="24"/>
      <c r="K27" s="93" t="s">
        <v>83</v>
      </c>
      <c r="L27" s="94">
        <f>IF(C17="design",H27,H27*1.5)</f>
        <v>7.5</v>
      </c>
      <c r="M27" s="24"/>
      <c r="N27" s="24"/>
      <c r="P27" s="37"/>
      <c r="Q27" s="39" t="s">
        <v>15</v>
      </c>
      <c r="R27" s="42">
        <f>T27*(I29+(I33-I29)/3)/1000</f>
        <v>6</v>
      </c>
      <c r="S27" s="39" t="s">
        <v>16</v>
      </c>
      <c r="T27" s="41">
        <f>IF(AND(AND(H27&gt;-0.00001,H27&lt;50.000001),AND(I29&gt;I25,I29&lt;H16+0.00001)),(I29-I25)/1000*L27/2,"!!! reparieren q4 oder L4")</f>
        <v>4.5</v>
      </c>
    </row>
    <row r="28" spans="1:23" ht="6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95"/>
      <c r="L28" s="95"/>
      <c r="M28" s="24"/>
      <c r="N28" s="24"/>
      <c r="P28" s="37"/>
      <c r="Q28" s="37"/>
      <c r="R28" s="37"/>
      <c r="S28" s="37"/>
    </row>
    <row r="29" spans="1:23" ht="15" customHeight="1" x14ac:dyDescent="0.3">
      <c r="A29" s="24"/>
      <c r="B29" s="29"/>
      <c r="C29" s="29"/>
      <c r="D29" s="29"/>
      <c r="E29" s="29"/>
      <c r="F29" s="29"/>
      <c r="G29" s="30"/>
      <c r="H29" s="30" t="s">
        <v>93</v>
      </c>
      <c r="I29" s="89">
        <v>1500</v>
      </c>
      <c r="J29" s="32"/>
      <c r="K29" s="98"/>
      <c r="L29" s="98"/>
      <c r="M29" s="75"/>
      <c r="N29" s="24"/>
      <c r="P29" s="37"/>
      <c r="Q29" s="37"/>
      <c r="R29" s="37"/>
      <c r="S29" s="37"/>
    </row>
    <row r="30" spans="1:23" ht="6" customHeight="1" x14ac:dyDescent="0.2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95"/>
      <c r="L30" s="95"/>
      <c r="M30" s="24"/>
      <c r="N30" s="24"/>
      <c r="P30" s="37"/>
      <c r="Q30" s="37"/>
      <c r="R30" s="37"/>
      <c r="S30" s="37"/>
    </row>
    <row r="31" spans="1:23" ht="15" customHeight="1" x14ac:dyDescent="0.3">
      <c r="A31" s="24"/>
      <c r="B31" s="24" t="s">
        <v>127</v>
      </c>
      <c r="C31" s="24"/>
      <c r="D31" s="24" t="s">
        <v>128</v>
      </c>
      <c r="E31" s="24"/>
      <c r="F31" s="24"/>
      <c r="G31" s="26" t="s">
        <v>71</v>
      </c>
      <c r="H31" s="87">
        <v>2.5299999999999998</v>
      </c>
      <c r="I31" s="27"/>
      <c r="J31" s="24"/>
      <c r="K31" s="93" t="s">
        <v>84</v>
      </c>
      <c r="L31" s="94">
        <f>IF(C17="design",H31,H31*1.5)</f>
        <v>3.7949999999999999</v>
      </c>
      <c r="M31" s="24"/>
      <c r="N31" s="24"/>
      <c r="P31" s="37"/>
      <c r="Q31" s="39" t="s">
        <v>17</v>
      </c>
      <c r="R31" s="42">
        <f>T31*I33/1000</f>
        <v>3.7949999999999999</v>
      </c>
      <c r="S31" s="39" t="s">
        <v>18</v>
      </c>
      <c r="T31" s="41">
        <f>IF(AND(AND(H31&gt;-0.00001,H31&lt;50.000001),AND(I33&gt;-0.00001,I33&lt;H16+0.00001)),L31,"!!! reparieren f5 oder L5")</f>
        <v>3.7949999999999999</v>
      </c>
    </row>
    <row r="32" spans="1:23" ht="6" customHeight="1" x14ac:dyDescent="0.2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95"/>
      <c r="L32" s="95"/>
      <c r="M32" s="24"/>
      <c r="N32" s="24"/>
      <c r="P32" s="37"/>
      <c r="Q32" s="37"/>
      <c r="R32" s="37"/>
      <c r="S32" s="37"/>
    </row>
    <row r="33" spans="1:26" ht="15" customHeight="1" x14ac:dyDescent="0.3">
      <c r="A33" s="24"/>
      <c r="B33" s="24"/>
      <c r="C33" s="24"/>
      <c r="D33" s="24"/>
      <c r="E33" s="24"/>
      <c r="F33" s="24"/>
      <c r="G33" s="26"/>
      <c r="H33" s="26" t="s">
        <v>94</v>
      </c>
      <c r="I33" s="85">
        <v>1000</v>
      </c>
      <c r="J33" s="28"/>
      <c r="K33" s="95"/>
      <c r="L33" s="95"/>
      <c r="M33" s="24"/>
      <c r="N33" s="24"/>
      <c r="P33" s="37"/>
      <c r="Q33" s="39"/>
      <c r="R33" s="42"/>
      <c r="S33" s="39"/>
      <c r="T33" s="41"/>
      <c r="U33" s="123"/>
      <c r="V33" s="123"/>
      <c r="W33" s="123"/>
      <c r="X33" s="123"/>
      <c r="Y33" s="123"/>
      <c r="Z33" s="123"/>
    </row>
    <row r="34" spans="1:26" ht="6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95"/>
      <c r="L34" s="95"/>
      <c r="M34" s="24"/>
      <c r="N34" s="24"/>
      <c r="P34" s="37"/>
      <c r="Q34" s="37"/>
      <c r="R34" s="37"/>
      <c r="S34" s="37"/>
      <c r="U34" s="124"/>
      <c r="V34" s="124"/>
      <c r="W34" s="124"/>
      <c r="X34" s="124"/>
      <c r="Y34" s="124"/>
      <c r="Z34" s="124"/>
    </row>
    <row r="35" spans="1:26" ht="15" customHeight="1" x14ac:dyDescent="0.3">
      <c r="A35" s="24"/>
      <c r="B35" s="24"/>
      <c r="C35" s="24"/>
      <c r="D35" s="24" t="s">
        <v>130</v>
      </c>
      <c r="E35" s="24"/>
      <c r="F35" s="24"/>
      <c r="G35" s="26" t="s">
        <v>72</v>
      </c>
      <c r="H35" s="87">
        <v>0.5</v>
      </c>
      <c r="I35" s="27"/>
      <c r="J35" s="24"/>
      <c r="K35" s="93" t="s">
        <v>85</v>
      </c>
      <c r="L35" s="94">
        <f>IF(C17="design",H35,H35*1.35)</f>
        <v>0.67500000000000004</v>
      </c>
      <c r="M35" s="24"/>
      <c r="N35" s="24"/>
      <c r="P35" s="37"/>
      <c r="Q35" s="39" t="s">
        <v>73</v>
      </c>
      <c r="R35" s="42">
        <f>T35*I39/1000</f>
        <v>0.94500000000000006</v>
      </c>
      <c r="S35" s="39" t="s">
        <v>74</v>
      </c>
      <c r="T35" s="41">
        <f>IF(AND(AND(H35&gt;-0.00001,H35&lt;50.000001),AND(I39&gt;-0.00001,I39&lt;H16+0.00001)),L35,"!!! reparieren f6 oder L6")</f>
        <v>0.67500000000000004</v>
      </c>
      <c r="U35" s="124"/>
      <c r="V35" s="71" t="s">
        <v>88</v>
      </c>
      <c r="W35" s="72">
        <f>L35*I39/1000+L35*I39/1000*0.3/0.5</f>
        <v>1.512</v>
      </c>
      <c r="X35" s="70"/>
      <c r="Y35" s="70"/>
      <c r="Z35" s="70"/>
    </row>
    <row r="36" spans="1:26" ht="6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95"/>
      <c r="L36" s="95"/>
      <c r="M36" s="24"/>
      <c r="N36" s="24"/>
      <c r="P36" s="37"/>
      <c r="Q36" s="37"/>
      <c r="R36" s="37"/>
      <c r="S36" s="37"/>
      <c r="U36" s="124"/>
    </row>
    <row r="37" spans="1:26" ht="15" customHeight="1" x14ac:dyDescent="0.3">
      <c r="A37" s="24"/>
      <c r="B37" s="24"/>
      <c r="C37" s="24"/>
      <c r="D37" s="24" t="s">
        <v>129</v>
      </c>
      <c r="E37" s="24"/>
      <c r="F37" s="24"/>
      <c r="G37" s="26" t="s">
        <v>77</v>
      </c>
      <c r="H37" s="87">
        <v>1</v>
      </c>
      <c r="I37" s="27"/>
      <c r="J37" s="24"/>
      <c r="K37" s="93" t="s">
        <v>86</v>
      </c>
      <c r="L37" s="94">
        <f>IF(C17="design",H37,H37*1.5)</f>
        <v>1.5</v>
      </c>
      <c r="M37" s="24"/>
      <c r="N37" s="24"/>
      <c r="P37" s="37"/>
      <c r="Q37" s="39" t="s">
        <v>75</v>
      </c>
      <c r="R37" s="42">
        <f>T37*I39/1000</f>
        <v>2.1</v>
      </c>
      <c r="S37" s="39" t="s">
        <v>76</v>
      </c>
      <c r="T37" s="41">
        <f>IF(AND(AND(H37&gt;-0.00001,H37&lt;50.000001),AND(I39&gt;-0.00001,I39&lt;H16+0.00001)),L37,"!!! reparieren f6 oder L6")</f>
        <v>1.5</v>
      </c>
      <c r="U37" s="124"/>
      <c r="V37" s="71" t="s">
        <v>89</v>
      </c>
      <c r="W37" s="72">
        <f>L37*I39/1000+L37*I39/1000*0.3/0.5</f>
        <v>3.3600000000000003</v>
      </c>
      <c r="X37" s="70"/>
      <c r="Y37" s="70"/>
      <c r="Z37" s="70"/>
    </row>
    <row r="38" spans="1:26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95"/>
      <c r="L38" s="95"/>
      <c r="M38" s="24"/>
      <c r="N38" s="24"/>
      <c r="P38" s="37"/>
      <c r="Q38" s="37"/>
      <c r="R38" s="37"/>
      <c r="S38" s="37"/>
      <c r="U38" s="124"/>
      <c r="V38" s="70"/>
      <c r="W38" s="70"/>
      <c r="X38" s="70"/>
      <c r="Y38" s="70"/>
      <c r="Z38" s="70"/>
    </row>
    <row r="39" spans="1:26" ht="15" customHeight="1" x14ac:dyDescent="0.3">
      <c r="A39" s="24"/>
      <c r="B39" s="29"/>
      <c r="C39" s="29"/>
      <c r="D39" s="29"/>
      <c r="E39" s="29"/>
      <c r="F39" s="29"/>
      <c r="G39" s="30"/>
      <c r="H39" s="30" t="s">
        <v>95</v>
      </c>
      <c r="I39" s="89">
        <v>1400</v>
      </c>
      <c r="J39" s="32"/>
      <c r="K39" s="98"/>
      <c r="L39" s="98"/>
      <c r="M39" s="75"/>
      <c r="N39" s="24"/>
      <c r="P39" s="37"/>
      <c r="Q39" s="37"/>
      <c r="R39" s="37"/>
      <c r="S39" s="37"/>
      <c r="U39" s="124"/>
      <c r="V39" s="71" t="s">
        <v>156</v>
      </c>
      <c r="W39" s="72">
        <f>L41*I39/1000/0.5</f>
        <v>2.1</v>
      </c>
      <c r="X39" s="70"/>
      <c r="Y39" s="70"/>
      <c r="Z39" s="70"/>
    </row>
    <row r="40" spans="1:26" ht="6" customHeight="1" x14ac:dyDescent="0.2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95"/>
      <c r="L40" s="95"/>
      <c r="M40" s="24"/>
      <c r="N40" s="24"/>
      <c r="P40" s="37"/>
      <c r="Q40" s="37"/>
      <c r="R40" s="37"/>
      <c r="S40" s="37"/>
      <c r="U40" s="124"/>
      <c r="V40" s="70"/>
      <c r="W40" s="70"/>
      <c r="X40" s="70"/>
      <c r="Y40" s="70"/>
      <c r="Z40" s="70"/>
    </row>
    <row r="41" spans="1:26" ht="15" customHeight="1" x14ac:dyDescent="0.3">
      <c r="A41" s="24"/>
      <c r="B41" s="24" t="s">
        <v>132</v>
      </c>
      <c r="C41" s="24"/>
      <c r="D41" s="24"/>
      <c r="E41" s="24"/>
      <c r="F41" s="118" t="s">
        <v>131</v>
      </c>
      <c r="G41" s="26" t="s">
        <v>78</v>
      </c>
      <c r="H41" s="87">
        <v>0.5</v>
      </c>
      <c r="I41" s="27"/>
      <c r="J41" s="24"/>
      <c r="K41" s="93" t="s">
        <v>87</v>
      </c>
      <c r="L41" s="94">
        <f>IF(C17="design",H41,H41*1.5)</f>
        <v>0.75</v>
      </c>
      <c r="M41" s="24"/>
      <c r="N41" s="24"/>
      <c r="P41" s="37"/>
      <c r="Q41" s="39" t="s">
        <v>79</v>
      </c>
      <c r="R41" s="42">
        <f>IF(AND(AND(H41&gt;-0.00001,H41&lt;10.000001),AND(I43&gt;99,I43&lt;3001)),L41*(I43+H12/2)/1000,"!!! reparieren h6 oder a6")</f>
        <v>0.96750000000000003</v>
      </c>
      <c r="S41" s="37"/>
      <c r="U41" s="124"/>
      <c r="V41" s="71" t="s">
        <v>63</v>
      </c>
      <c r="W41" s="72">
        <f>IF(OR(N10="A",N10="B"),Z41*(I39/1000)/2,IF(N10="C",Z41*(I39/1000)/2+Z41*0.05,Z41*(I39/1000)/2+Z41*0.125))</f>
        <v>4.880399999999999</v>
      </c>
      <c r="X41" s="70"/>
      <c r="Y41" s="71" t="s">
        <v>64</v>
      </c>
      <c r="Z41" s="72">
        <f>(W35+W37+W39)</f>
        <v>6.9719999999999995</v>
      </c>
    </row>
    <row r="42" spans="1:26" ht="6" customHeight="1" x14ac:dyDescent="0.2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P42" s="43"/>
      <c r="Q42" s="43"/>
      <c r="R42" s="43"/>
      <c r="S42" s="43"/>
      <c r="T42" s="7"/>
      <c r="U42" s="73"/>
      <c r="V42" s="73"/>
      <c r="W42" s="73"/>
      <c r="X42" s="73"/>
      <c r="Y42" s="73"/>
      <c r="Z42" s="73"/>
    </row>
    <row r="43" spans="1:26" ht="15" customHeight="1" x14ac:dyDescent="0.3">
      <c r="A43" s="75"/>
      <c r="B43" s="75"/>
      <c r="C43" s="75"/>
      <c r="D43" s="75"/>
      <c r="E43" s="75"/>
      <c r="F43" s="75"/>
      <c r="G43" s="76"/>
      <c r="H43" s="76" t="s">
        <v>96</v>
      </c>
      <c r="I43" s="90">
        <v>1200</v>
      </c>
      <c r="J43" s="77"/>
      <c r="K43" s="75"/>
      <c r="L43" s="75"/>
      <c r="M43" s="75"/>
      <c r="N43" s="75"/>
      <c r="P43" s="37"/>
      <c r="Q43" s="39" t="s">
        <v>61</v>
      </c>
      <c r="R43" s="42">
        <f>IF(OR(N10="A",N10="B"),SUM(R16:R41),IF(N10="C",SUM(R16:R41)+T43*0.05,SUM(R16:R41)+T43*0.125))</f>
        <v>29.502213000000005</v>
      </c>
      <c r="S43" s="39" t="s">
        <v>62</v>
      </c>
      <c r="T43" s="41">
        <f>SUM(T16:T41)</f>
        <v>30.191925000000001</v>
      </c>
      <c r="U43" s="70"/>
      <c r="V43" s="71" t="s">
        <v>65</v>
      </c>
      <c r="W43" s="72">
        <f>R43+W41</f>
        <v>34.382613000000006</v>
      </c>
      <c r="X43" s="70"/>
      <c r="Y43" s="71" t="s">
        <v>66</v>
      </c>
      <c r="Z43" s="72">
        <f>T43+Z41</f>
        <v>37.163924999999999</v>
      </c>
    </row>
    <row r="44" spans="1:26" ht="21" customHeight="1" x14ac:dyDescent="0.25">
      <c r="A44" s="58" t="s">
        <v>133</v>
      </c>
      <c r="B44" s="59"/>
      <c r="C44" s="59"/>
      <c r="D44" s="59"/>
      <c r="E44" s="59"/>
      <c r="F44" s="99" t="s">
        <v>152</v>
      </c>
      <c r="G44" s="60">
        <f>IF(C9="rand",W43,IF(C9="intern",R43," "))</f>
        <v>34.382613000000006</v>
      </c>
      <c r="H44" s="59"/>
      <c r="I44" s="99" t="s">
        <v>153</v>
      </c>
      <c r="J44" s="60">
        <f>IF(C9="rand",Z43,IF(C9="intern",T43," "))</f>
        <v>37.163924999999999</v>
      </c>
      <c r="K44" s="59"/>
      <c r="L44" s="59"/>
      <c r="M44" s="59"/>
      <c r="N44" s="59"/>
      <c r="Q44" s="125" t="s">
        <v>158</v>
      </c>
      <c r="R44" s="102"/>
      <c r="S44" s="103"/>
      <c r="T44" s="104"/>
      <c r="U44" s="105"/>
      <c r="V44" s="103"/>
      <c r="W44" s="104"/>
      <c r="X44" s="105"/>
      <c r="Y44" s="71"/>
      <c r="Z44" s="72"/>
    </row>
    <row r="45" spans="1:26" ht="21" customHeight="1" x14ac:dyDescent="0.3">
      <c r="A45" s="57" t="s">
        <v>134</v>
      </c>
      <c r="B45" s="54"/>
      <c r="C45" s="54"/>
      <c r="D45" s="54"/>
      <c r="E45" s="54"/>
      <c r="F45" s="55"/>
      <c r="G45" s="56"/>
      <c r="H45" s="54"/>
      <c r="I45" s="54"/>
      <c r="J45" s="54"/>
      <c r="K45" s="57"/>
      <c r="L45" s="57"/>
      <c r="M45" s="57"/>
      <c r="N45" s="54"/>
      <c r="Q45" s="106" t="s">
        <v>97</v>
      </c>
      <c r="R45" s="107">
        <f>1-L41/8/66.9</f>
        <v>0.99859865470852016</v>
      </c>
      <c r="S45" s="106" t="s">
        <v>98</v>
      </c>
      <c r="T45" s="107">
        <f>1-L41/6/66.9</f>
        <v>0.99813153961136025</v>
      </c>
      <c r="U45" s="106" t="s">
        <v>99</v>
      </c>
      <c r="V45" s="107">
        <f>1-L41/5/66.9</f>
        <v>0.99775784753363228</v>
      </c>
      <c r="W45" s="106" t="s">
        <v>100</v>
      </c>
      <c r="X45" s="107">
        <f>1-L41/4/66.9</f>
        <v>0.99719730941704032</v>
      </c>
    </row>
    <row r="46" spans="1:26" ht="15.75" customHeight="1" x14ac:dyDescent="0.2">
      <c r="A46" s="54"/>
      <c r="B46" s="54"/>
      <c r="C46" s="62" t="str">
        <f>(IF(H12=160,"Thermoblock TS 8/160",(IF(H12=180,"Thermoblock TS 8/180",(IF(H12=200,"Thermoblock TS 8/200",IF(H12=220,"Thermoblock TS 8/220"," ")))))))</f>
        <v>Thermoblock TS 8/180</v>
      </c>
      <c r="D46" s="61" t="str">
        <f>IF(Z47&lt;1," genügt nicht."," beträgt in der max. zulässige Achsabstand  ")</f>
        <v xml:space="preserve"> beträgt in der max. zulässige Achsabstand  </v>
      </c>
      <c r="E46" s="61"/>
      <c r="F46" s="54"/>
      <c r="G46" s="54"/>
      <c r="H46" s="119">
        <f>IF(Z47&lt;1," ",Z47*1000)</f>
        <v>1388.5960586201224</v>
      </c>
      <c r="I46" s="61"/>
      <c r="J46" s="126" t="str">
        <f>IF(Z47&lt;1," ",IF(Z47&gt;1.4,"Bei Nutzung Achsabstand der Thermoblocken mehr als 1400 mm muss Bewehrung des Balkonrandes und die verbundene Tragkonstruktion erhöhen."," "))</f>
        <v xml:space="preserve"> </v>
      </c>
      <c r="K46" s="126"/>
      <c r="L46" s="126"/>
      <c r="M46" s="127"/>
      <c r="N46" s="61"/>
      <c r="Q46" s="63" t="s">
        <v>157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5.75" x14ac:dyDescent="0.3">
      <c r="A47" s="54"/>
      <c r="B47" s="54"/>
      <c r="C47" s="62" t="str">
        <f>(IF(H12=160,"Thermoblock TS 6/160",(IF(H12=180,"Thermoblock TS 6/180",(IF(H12=200,"Thermoblock TS 6/200",IF(H12=220,"Thermoblock TS 6/220"," ")))))))</f>
        <v>Thermoblock TS 6/180</v>
      </c>
      <c r="D47" s="61" t="str">
        <f>IF(Z48&lt;1," genügt nicht."," beträgt in der max. zulässige Achsabstand")</f>
        <v xml:space="preserve"> beträgt in der max. zulässige Achsabstand</v>
      </c>
      <c r="E47" s="61"/>
      <c r="F47" s="54"/>
      <c r="G47" s="54"/>
      <c r="H47" s="119">
        <f>IF(Z48&lt;1," ",Z48*1000)</f>
        <v>1040.9598856509538</v>
      </c>
      <c r="I47" s="61"/>
      <c r="J47" s="126"/>
      <c r="K47" s="126"/>
      <c r="L47" s="126"/>
      <c r="M47" s="127"/>
      <c r="N47" s="61"/>
      <c r="Q47" s="65" t="s">
        <v>41</v>
      </c>
      <c r="R47" s="66">
        <f>(IF(H12=160,Data!F5*R45,(IF(H12=180,Data!F6*R45,(IF(H12=200,Data!F7*R45,IF(H12=220,Data!F8*R45,0)))))))</f>
        <v>47.743560896860991</v>
      </c>
      <c r="S47" s="65" t="s">
        <v>42</v>
      </c>
      <c r="T47" s="66">
        <f>(IF(H12=160,Data!I5,(IF(H12=180,Data!I6,(IF(H12=200,Data!I7,IF(H12=220,Data!I8,0)))))))</f>
        <v>95.22</v>
      </c>
      <c r="U47" s="65" t="s">
        <v>43</v>
      </c>
      <c r="V47" s="67">
        <f>R47/G44</f>
        <v>1.3885960586201225</v>
      </c>
      <c r="W47" s="65" t="s">
        <v>44</v>
      </c>
      <c r="X47" s="67">
        <f>T47/J44</f>
        <v>2.5621620967107215</v>
      </c>
      <c r="Y47" s="65" t="s">
        <v>45</v>
      </c>
      <c r="Z47" s="67">
        <f>MIN(V47,X47)</f>
        <v>1.3885960586201225</v>
      </c>
    </row>
    <row r="48" spans="1:26" ht="15.75" x14ac:dyDescent="0.3">
      <c r="A48" s="54"/>
      <c r="B48" s="54"/>
      <c r="C48" s="62" t="str">
        <f>(IF(H12=160,"Thermoblock TS 5/160",(IF(H12=180,"Thermoblock TS 5/180",(IF(H12=200,"Thermoblock TS 5/200",IF(H12=220,"Thermoblock TS 5/220"," ")))))))</f>
        <v>Thermoblock TS 5/180</v>
      </c>
      <c r="D48" s="61" t="str">
        <f>IF(Z49&lt;1," genügt nicht."," beträgt in der max. zulässige Achsabstand")</f>
        <v xml:space="preserve"> genügt nicht.</v>
      </c>
      <c r="E48" s="61"/>
      <c r="F48" s="54"/>
      <c r="G48" s="54"/>
      <c r="H48" s="119" t="str">
        <f>IF(Z49&lt;1," ",Z49*1000)</f>
        <v xml:space="preserve"> </v>
      </c>
      <c r="I48" s="61"/>
      <c r="J48" s="126"/>
      <c r="K48" s="126"/>
      <c r="L48" s="126"/>
      <c r="M48" s="127"/>
      <c r="N48" s="61"/>
      <c r="Q48" s="65" t="s">
        <v>46</v>
      </c>
      <c r="R48" s="66">
        <f>(IF(H12=160,Data!F15*T45,(IF(H12=180,Data!F16*T45,(IF(H12=200,Data!F17*T45,IF(H12=220,Data!F18*T45,0)))))))</f>
        <v>35.790920896860996</v>
      </c>
      <c r="S48" s="65" t="s">
        <v>47</v>
      </c>
      <c r="T48" s="66">
        <f>(IF(H12=160,Data!I15,(IF(H12=180,Data!I16,(IF(H12=200,Data!I17,IF(H12=220,Data!I18,0)))))))</f>
        <v>71.415000000000006</v>
      </c>
      <c r="U48" s="65" t="s">
        <v>48</v>
      </c>
      <c r="V48" s="67">
        <f>R48/G44</f>
        <v>1.0409598856509537</v>
      </c>
      <c r="W48" s="65" t="s">
        <v>49</v>
      </c>
      <c r="X48" s="67">
        <f>T48/J44</f>
        <v>1.9216215725330414</v>
      </c>
      <c r="Y48" s="65" t="s">
        <v>50</v>
      </c>
      <c r="Z48" s="67">
        <f>MIN(V48,X48)</f>
        <v>1.0409598856509537</v>
      </c>
    </row>
    <row r="49" spans="1:26" ht="15.75" x14ac:dyDescent="0.3">
      <c r="A49" s="54"/>
      <c r="B49" s="54"/>
      <c r="C49" s="62" t="str">
        <f>(IF(H12=160,"Thermoblock TS 4/160",(IF(H12=180,"Thermoblock TS 4/180",(IF(H12=200,"Thermoblock TS 4/200",IF(H12=220,"Thermoblock TS 4/220"," ")))))))</f>
        <v>Thermoblock TS 4/180</v>
      </c>
      <c r="D49" s="61" t="str">
        <f>IF(Z50&lt;1," genügt nicht."," beträgt in der max. zulässige Achsabstand")</f>
        <v xml:space="preserve"> genügt nicht.</v>
      </c>
      <c r="E49" s="61"/>
      <c r="F49" s="54"/>
      <c r="G49" s="54"/>
      <c r="H49" s="119" t="str">
        <f>IF(Z50&lt;1," ",Z50*1000)</f>
        <v xml:space="preserve"> </v>
      </c>
      <c r="I49" s="61"/>
      <c r="J49" s="126"/>
      <c r="K49" s="126"/>
      <c r="L49" s="126"/>
      <c r="M49" s="127"/>
      <c r="N49" s="61"/>
      <c r="Q49" s="65" t="s">
        <v>51</v>
      </c>
      <c r="R49" s="66">
        <f>(IF(H12=160,Data!F25*V45,(IF(H12=180,Data!F26*V45,(IF(H12=200,Data!F27*V45,IF(H12=220,Data!F28*V45,0)))))))</f>
        <v>29.814600896860988</v>
      </c>
      <c r="S49" s="65" t="s">
        <v>52</v>
      </c>
      <c r="T49" s="66">
        <f>(IF(H12=160,Data!I25,(IF(H12=180,Data!I26,(IF(H12=200,Data!I27,IF(H12=220,Data!I28,0)))))))</f>
        <v>59.512500000000003</v>
      </c>
      <c r="U49" s="65" t="s">
        <v>53</v>
      </c>
      <c r="V49" s="67">
        <f>R49/G44</f>
        <v>0.8671417991663688</v>
      </c>
      <c r="W49" s="65" t="s">
        <v>54</v>
      </c>
      <c r="X49" s="67">
        <f>T49/J44</f>
        <v>1.601351310444201</v>
      </c>
      <c r="Y49" s="65" t="s">
        <v>55</v>
      </c>
      <c r="Z49" s="67">
        <f>MIN(V49,X49)</f>
        <v>0.8671417991663688</v>
      </c>
    </row>
    <row r="50" spans="1:26" ht="21.75" customHeight="1" x14ac:dyDescent="0.3">
      <c r="A50" s="57" t="s">
        <v>135</v>
      </c>
      <c r="B50" s="54"/>
      <c r="C50" s="57" t="str">
        <f>IF(Z50&gt;0.99999999,"Es wird empfohlen den Thermokorb TS 4 zu verwenden.",(IF(Z49&gt;0.99999999,"Es wird empfohlen den Thermokorb TS 5 zu verwenden.",(IF(Z48&gt;0.99999999,"Es wird empfohlen den Thermokorb TS 6 zu verwenden.",(IF(Z47&gt;0.99999999,"Es wird empfohlen den Thermokorb TS 8 zu verwenden.","Keine Thermoblocks genügen.")))))))</f>
        <v>Es wird empfohlen den Thermokorb TS 6 zu verwenden.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Q50" s="65" t="s">
        <v>56</v>
      </c>
      <c r="R50" s="66">
        <f>(IF(H12=160,Data!F35*X45,(IF(H12=180,Data!F36*X45,(IF(H12=200,Data!F37*X45,IF(H12=220,Data!F38*X45,0)))))))</f>
        <v>23.838280896860987</v>
      </c>
      <c r="S50" s="65" t="s">
        <v>57</v>
      </c>
      <c r="T50" s="66">
        <f>(IF(H12=160,Data!I35,(IF(H12=180,Data!I36,(IF(H12=200,Data!I37,IF(H12=220,Data!I38,0)))))))</f>
        <v>47.61</v>
      </c>
      <c r="U50" s="65" t="s">
        <v>58</v>
      </c>
      <c r="V50" s="67">
        <f>R50/G44</f>
        <v>0.69332371268178428</v>
      </c>
      <c r="W50" s="65" t="s">
        <v>59</v>
      </c>
      <c r="X50" s="67">
        <f>T50/J44</f>
        <v>1.2810810483553607</v>
      </c>
      <c r="Y50" s="65" t="s">
        <v>60</v>
      </c>
      <c r="Z50" s="67">
        <f>MIN(V50,X50)</f>
        <v>0.69332371268178428</v>
      </c>
    </row>
    <row r="51" spans="1:26" ht="15.75" customHeight="1" x14ac:dyDescent="0.2"/>
    <row r="52" spans="1:26" ht="15.75" customHeight="1" x14ac:dyDescent="0.2">
      <c r="Q52" s="63" t="s">
        <v>140</v>
      </c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5.75" x14ac:dyDescent="0.3">
      <c r="Q53" s="65" t="s">
        <v>41</v>
      </c>
      <c r="R53" s="66">
        <f>(IF(H12=160,Data!F5,(IF(H12=180,Data!F6,(IF(H12=200,Data!F7,IF(H12=220,Data!F8,0)))))))</f>
        <v>47.810560000000002</v>
      </c>
      <c r="S53" s="65" t="s">
        <v>42</v>
      </c>
      <c r="T53" s="66">
        <f>(IF(H12=160,Data!I5,(IF(H12=180,Data!I6,(IF(H12=200,Data!I7,IF(H12=220,Data!I8,0)))))))</f>
        <v>95.22</v>
      </c>
      <c r="U53" s="65"/>
      <c r="V53" s="67"/>
      <c r="W53" s="65"/>
      <c r="X53" s="67"/>
      <c r="Y53" s="65"/>
      <c r="Z53" s="67"/>
    </row>
    <row r="54" spans="1:26" ht="15.75" x14ac:dyDescent="0.3">
      <c r="Q54" s="65" t="s">
        <v>46</v>
      </c>
      <c r="R54" s="66">
        <f>(IF(H12=160,Data!F15,(IF(H12=180,Data!F16,(IF(H12=200,Data!F17,IF(H12=220,Data!F18,0)))))))</f>
        <v>35.857920000000007</v>
      </c>
      <c r="S54" s="65" t="s">
        <v>47</v>
      </c>
      <c r="T54" s="66">
        <f>(IF(H12=160,Data!I15,(IF(H12=180,Data!I16,(IF(H12=200,Data!I17,IF(H12=220,Data!I18,0)))))))</f>
        <v>71.415000000000006</v>
      </c>
      <c r="U54" s="65"/>
      <c r="V54" s="67"/>
      <c r="W54" s="65"/>
      <c r="X54" s="67"/>
      <c r="Y54" s="65"/>
      <c r="Z54" s="67"/>
    </row>
    <row r="55" spans="1:26" ht="15.75" x14ac:dyDescent="0.3">
      <c r="Q55" s="65" t="s">
        <v>51</v>
      </c>
      <c r="R55" s="66">
        <f>(IF(H12=160,Data!F25,(IF(H12=180,Data!F26,(IF(H12=200,Data!F27,IF(H12=220,Data!F28,0)))))))</f>
        <v>29.881600000000002</v>
      </c>
      <c r="S55" s="65" t="s">
        <v>52</v>
      </c>
      <c r="T55" s="66">
        <f>(IF(H12=160,Data!I25,(IF(H12=180,Data!I26,(IF(H12=200,Data!I27,IF(H12=220,Data!I28,0)))))))</f>
        <v>59.512500000000003</v>
      </c>
      <c r="U55" s="65"/>
      <c r="V55" s="67"/>
      <c r="W55" s="65"/>
      <c r="X55" s="67"/>
      <c r="Y55" s="65"/>
      <c r="Z55" s="67"/>
    </row>
    <row r="56" spans="1:26" ht="15.75" x14ac:dyDescent="0.3">
      <c r="Q56" s="65" t="s">
        <v>56</v>
      </c>
      <c r="R56" s="66">
        <f>(IF(H12=160,Data!F35,(IF(H12=180,Data!F36,(IF(H12=200,Data!F37,IF(H12=220,Data!F38,0)))))))</f>
        <v>23.905280000000001</v>
      </c>
      <c r="S56" s="65" t="s">
        <v>57</v>
      </c>
      <c r="T56" s="66">
        <f>(IF(H12=160,Data!I35,(IF(H12=180,Data!I36,(IF(H12=200,Data!I37,IF(H12=220,Data!I38,0)))))))</f>
        <v>47.61</v>
      </c>
      <c r="U56" s="65"/>
      <c r="V56" s="67"/>
      <c r="W56" s="65"/>
      <c r="X56" s="67"/>
      <c r="Y56" s="65"/>
      <c r="Z56" s="67"/>
    </row>
    <row r="61" spans="1:26" x14ac:dyDescent="0.2">
      <c r="S61" s="122">
        <f>MIN(H16,I29)</f>
        <v>1500</v>
      </c>
    </row>
    <row r="62" spans="1:26" x14ac:dyDescent="0.2">
      <c r="S62" s="122">
        <f>MAX(300,I29,I33,I39)</f>
        <v>1500</v>
      </c>
    </row>
    <row r="64" spans="1:26" ht="15.75" x14ac:dyDescent="0.25">
      <c r="Q64" s="117" t="s">
        <v>110</v>
      </c>
      <c r="R64" s="115"/>
      <c r="S64" s="114" t="s">
        <v>111</v>
      </c>
    </row>
    <row r="65" spans="17:20" x14ac:dyDescent="0.2">
      <c r="Q65" s="114"/>
      <c r="R65" s="114"/>
      <c r="S65" s="114" t="s">
        <v>112</v>
      </c>
    </row>
    <row r="67" spans="17:20" ht="14.25" x14ac:dyDescent="0.25">
      <c r="Q67" s="112" t="s">
        <v>142</v>
      </c>
      <c r="R67" s="113">
        <v>160</v>
      </c>
    </row>
    <row r="68" spans="17:20" x14ac:dyDescent="0.2">
      <c r="Q68" s="113"/>
      <c r="R68" s="113">
        <v>180</v>
      </c>
    </row>
    <row r="69" spans="17:20" x14ac:dyDescent="0.2">
      <c r="Q69" s="113"/>
      <c r="R69" s="113">
        <v>200</v>
      </c>
    </row>
    <row r="70" spans="17:20" x14ac:dyDescent="0.2">
      <c r="Q70" s="113"/>
      <c r="R70" s="113">
        <v>220</v>
      </c>
    </row>
    <row r="71" spans="17:20" x14ac:dyDescent="0.2">
      <c r="Q71" s="110" t="s">
        <v>155</v>
      </c>
      <c r="R71" s="111" t="s">
        <v>119</v>
      </c>
    </row>
    <row r="72" spans="17:20" x14ac:dyDescent="0.2">
      <c r="Q72" s="111"/>
      <c r="R72" s="111" t="s">
        <v>120</v>
      </c>
    </row>
    <row r="73" spans="17:20" x14ac:dyDescent="0.2">
      <c r="Q73" s="108" t="s">
        <v>141</v>
      </c>
      <c r="R73" s="109"/>
      <c r="S73" s="109"/>
      <c r="T73" s="109" t="s">
        <v>101</v>
      </c>
    </row>
    <row r="74" spans="17:20" x14ac:dyDescent="0.2">
      <c r="Q74" s="109"/>
      <c r="R74" s="109"/>
      <c r="S74" s="109"/>
      <c r="T74" s="109" t="s">
        <v>102</v>
      </c>
    </row>
    <row r="75" spans="17:20" x14ac:dyDescent="0.2">
      <c r="Q75" s="109"/>
      <c r="R75" s="109"/>
      <c r="S75" s="109"/>
      <c r="T75" s="109" t="s">
        <v>103</v>
      </c>
    </row>
    <row r="76" spans="17:20" x14ac:dyDescent="0.2">
      <c r="Q76" s="109"/>
      <c r="R76" s="109"/>
      <c r="S76" s="109"/>
      <c r="T76" s="109" t="s">
        <v>104</v>
      </c>
    </row>
    <row r="78" spans="17:20" ht="10.5" customHeight="1" x14ac:dyDescent="0.2"/>
  </sheetData>
  <sheetProtection sheet="1" objects="1" scenarios="1"/>
  <mergeCells count="7">
    <mergeCell ref="J46:M49"/>
    <mergeCell ref="A1:N1"/>
    <mergeCell ref="J5:K5"/>
    <mergeCell ref="B20:D21"/>
    <mergeCell ref="B24:D25"/>
    <mergeCell ref="C17:D17"/>
    <mergeCell ref="L6:M6"/>
  </mergeCells>
  <phoneticPr fontId="0" type="noConversion"/>
  <dataValidations count="19">
    <dataValidation type="whole" allowBlank="1" showInputMessage="1" showErrorMessage="1" errorTitle="Endeposit. der diskon. Belastung" error="Nötig einen Wert zwischen min. &quot;a3&quot; ( Beginnposition der Belastung ) und max. &quot;L&quot; ( Stützweite ) wählen" promptTitle="Endeposit. der diskon. Belastung" prompt="Endeposition der diskontinuierlichen Belastung zwischen min. &quot;a3&quot; ( Beginnposition der Belastung ) – max. „L“ (  Stützweite )  wählen_x000a_" sqref="I29">
      <formula1>I25</formula1>
      <formula2>H16</formula2>
    </dataValidation>
    <dataValidation type="whole" allowBlank="1" showInputMessage="1" showErrorMessage="1" errorTitle="Linienbelastungsposition" error="Nötig zwischen min. 0 mm und max. &quot;L&quot; ( Stützweite ) wählen" promptTitle="Linienbelastungsposition" prompt="Nötig die Linienbelastungsposition zwischen min. 0 mm – max. „L“ (  Stützweite )  wählen" sqref="I33">
      <formula1>0</formula1>
      <formula2>H16</formula2>
    </dataValidation>
    <dataValidation type="whole" allowBlank="1" showInputMessage="1" showErrorMessage="1" errorTitle="Brüstungsposition" error="Nötig zwischen min. 0 mm und max. &quot;L&quot; ( Stützweite ) wählen" promptTitle="Brüstungsposition" prompt="Nötig die Brüstungsposition zwischen min. 0 mm – max. „L“ (  Stützweite )  wählen" sqref="I39">
      <formula1>0</formula1>
      <formula2>H16</formula2>
    </dataValidation>
    <dataValidation type="whole" allowBlank="1" showInputMessage="1" showErrorMessage="1" errorTitle="Beginnpos. der diskon. Belastung" error="Nötig zwischen min. 0 mm und max. &quot;L&quot; ( Stützweite ) oder &quot;a4&quot; wählen" promptTitle="Beginnpos. der diskon. Belastung" prompt="Nötig die Beginnposition der diskontinuierlichen Belastung zwischen min. 0 mm – max. „L“ (  Stützweite )  oder &quot;a4&quot; wählen" sqref="I25">
      <formula1>0</formula1>
      <formula2>S61</formula2>
    </dataValidation>
    <dataValidation type="whole" allowBlank="1" showInputMessage="1" showErrorMessage="1" errorTitle="Stützweite" error="Min. 300 mm ( alt. &quot;a4&quot;, &quot;a5&quot; oder &quot;a6&quot; ) - max. 3500 mm" promptTitle="Stützweite" prompt="Nötig zwischen  300 mm ( min. ) und 3500 mm ( max. ) wählen. Min. muss gleichzeitig min. gleich sein, wie der größten von den Werten &quot;a4&quot;, &quot;a5&quot; oder &quot;a6&quot;." sqref="H16">
      <formula1>S62</formula1>
      <formula2>3500</formula2>
    </dataValidation>
    <dataValidation type="list" allowBlank="1" showInputMessage="1" showErrorMessage="1" errorTitle="Balkonteil" error="Nötig zwischen &quot;rand&quot; oder &quot;intern&quot; wählen" promptTitle="Balkonteil" prompt="Nötig zwischen &quot;rand&quot; ( erhöhte Spannung durch Geländer am Rand des Balkons ) und &quot;intern&quot; ( Normalspannung ) wählen" sqref="C9">
      <formula1>$S$64:$S$65</formula1>
    </dataValidation>
    <dataValidation type="list" allowBlank="1" showInputMessage="1" showErrorMessage="1" errorTitle="Dicke bei der Konstruktion" error="Nötig zwischen &quot;160&quot;, &quot;180&quot;, &quot;200&quot; nebo &quot;220&quot; wählen " promptTitle="Dicke bei der Konstruktion" prompt="Nötig zwischen erzeugene Höhen der bewehrten Isolationselementen 160, 180 , 200 oder 220 mm wählen" sqref="H12">
      <formula1>$R$67:$R$70</formula1>
    </dataValidation>
    <dataValidation type="whole" allowBlank="1" showInputMessage="1" showErrorMessage="1" errorTitle="Dicke des Balkons am freiem Rand" error="Min. 50 mm - max. 400 mm" promptTitle="Dicke des Balkons am freiem Rand" prompt="Nötig zwischen  50 mm ( min. ) und 400 mm ( max. ) wählen" sqref="H14">
      <formula1>50</formula1>
      <formula2>400</formula2>
    </dataValidation>
    <dataValidation type="decimal" allowBlank="1" showInputMessage="1" showErrorMessage="1" errorTitle=" Kontinu. Balkonflächenbelastung" error="Nötig einen Wert aus dem Intervall zwischen &quot;0,00 - 50,00 &quot; kN/m2 wählen_x000a_" promptTitle=" Kontinu. Balkonflächenbelastung" prompt="Permanente Fuβboden am Anfang des Balkons muss zwischen min. 0,00 - max. 50,00 kN/m2 wählen" sqref="H19">
      <formula1>0</formula1>
      <formula2>50</formula2>
    </dataValidation>
    <dataValidation type="decimal" allowBlank="1" showInputMessage="1" showErrorMessage="1" errorTitle="Diskontin. Flächenbelastung " error="Nötig einen Wert aus dem Intervall zwischen &quot;0,00 - 50,00 &quot; kN/m2 wählen" promptTitle="Diskontin. Flächenbelastung " prompt="Nutzlast oder Schneelast am Anfang des Abschnitts muss zwischen min. 0,00 - max. 50,00 kN/m2 wählen" sqref="H23">
      <formula1>0</formula1>
      <formula2>50</formula2>
    </dataValidation>
    <dataValidation type="decimal" allowBlank="1" showInputMessage="1" showErrorMessage="1" errorTitle="Linienbelastung" error="Nötig einen Wert aus dem Intervall zwischen &quot;0,00 - 50,00 &quot; kN/m wählen" promptTitle="Linienbelastung" prompt="Nutzlinienbelastung muss zwischen min. 0,00 - max. 50,00 kN/m wählen" sqref="H31">
      <formula1>0</formula1>
      <formula2>50</formula2>
    </dataValidation>
    <dataValidation type="decimal" allowBlank="1" showInputMessage="1" showErrorMessage="1" errorTitle="Permanente Brüstungslinienlast " error="Nötig einen Wert aus dem Intervall zwischen &quot;0,00 - 50,00 &quot; kN/m wählen" promptTitle="Permanente Brüstungslinienlast " prompt="Permanente Brüstungslinienlast muss zwischen min. 0,00 - max. 50,00 kN/m wählen" sqref="H35">
      <formula1>0</formula1>
      <formula2>50</formula2>
    </dataValidation>
    <dataValidation type="decimal" allowBlank="1" showInputMessage="1" showErrorMessage="1" errorTitle="Nutze vert. Brüstungslinienlast " error="Nötig einen Wert aus dem Intervall zwischen &quot;0,00 - 50,00&quot; kN/m wählen" promptTitle="Nutze vert. Brüstungslinienlast " prompt="Nutze vertikale Brüstungslinienlast muss zwischen min. 0,00 - max. 50,00 kN/m wählen" sqref="H37">
      <formula1>0</formula1>
      <formula2>50</formula2>
    </dataValidation>
    <dataValidation type="decimal" allowBlank="1" showInputMessage="1" showErrorMessage="1" errorTitle="Nutze hor. Brüstungslinienlast " error="Nötig einen Wert aus dem Intervall zwischen &quot;0,00 - 50,00&quot; kN/m wählen" promptTitle="Nutze hor. Brüstungslinienlast " prompt="Nutze horizontale Brüstungslinienlast muss zwischen min. 0,00 - max. 50,00 kN/m wählen" sqref="H41">
      <formula1>0</formula1>
      <formula2>50</formula2>
    </dataValidation>
    <dataValidation type="whole" allowBlank="1" showInputMessage="1" showErrorMessage="1" errorTitle="Höhe der Brüstung" error="Nötig zwischen min. 100 mm - max. 3000 mm wählen" promptTitle="Höhe der Brüstung" prompt="Nötig einen Wert aus dem Intervall min. 100 mm - max. 3000 mm wählen." sqref="I43">
      <formula1>100</formula1>
      <formula2>3000</formula2>
    </dataValidation>
    <dataValidation type="list" allowBlank="1" showInputMessage="1" showErrorMessage="1" errorTitle="Art der Belastung" error="Nötig &quot;charakteristisch&quot; oder &quot;design&quot; wählen" promptTitle="Art der Belastung" prompt="Nötig &quot;charakteristisch&quot; ( von Belastungfaktoren nicht multipliziert ) oder &quot;design&quot; ( von Belastungsfaktoren und ev. von reduzierten Kombinationfaktoren multipliziert ) wählen" sqref="C17:D17">
      <formula1>$R$71:$R$72</formula1>
    </dataValidation>
    <dataValidation type="list" allowBlank="1" showInputMessage="1" showErrorMessage="1" errorTitle="Geometrietyp der Tragkonstruktio" error="Nötig zwischen  Typen &quot;A&quot;, &quot;B&quot;, &quot;C&quot; und &quot;D&quot; wählen" promptTitle="Geometrietyp der Tragkonstruktio" prompt="Nötig zwischen  Typen &quot;A&quot;, &quot;B&quot;, &quot;C&quot; und &quot;D&quot; nach des Bildes wählen" sqref="N10">
      <formula1>$T$73:$T$76</formula1>
    </dataValidation>
    <dataValidation type="decimal" allowBlank="1" showInputMessage="1" showErrorMessage="1" errorTitle=" Kontinu. Balkonflächenbelastung" error="Nötig einen Wert aus dem Intervall zwischen &quot;0,00 - 50,00 &quot; kN/m2 wählen" promptTitle=" Kontinu. Balkonflächenbelastung" prompt="Permanente Fuβboden am Ende des Balkons muss zwischen min. 0,00 - max. 50,00 kN/m2 wählen" sqref="H21">
      <formula1>0</formula1>
      <formula2>50</formula2>
    </dataValidation>
    <dataValidation type="decimal" allowBlank="1" showInputMessage="1" showErrorMessage="1" errorTitle="Diskontin. Flächenbelastung " error="Nötig einen Wert aus dem Intervall zwischen &quot;0,00 - 50,00 &quot; kN/m2 wählen" promptTitle="Diskontin. Flächenbelastung " prompt="Nutzlast oder Schneelast am Ende des Abschnitts muss zwischen min. 0,00 - max. 50,00 kN/m2 wählen" sqref="H27">
      <formula1>0</formula1>
      <formula2>50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69" orientation="portrait" r:id="rId1"/>
  <headerFooter alignWithMargins="0"/>
  <cellWatches>
    <cellWatch r="C9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opLeftCell="A16" zoomScaleNormal="100" zoomScaleSheetLayoutView="100" workbookViewId="0">
      <selection activeCell="J13" sqref="J13:M16"/>
    </sheetView>
  </sheetViews>
  <sheetFormatPr defaultRowHeight="12.75" x14ac:dyDescent="0.2"/>
  <cols>
    <col min="2" max="2" width="12.140625" customWidth="1"/>
    <col min="5" max="5" width="11.85546875" customWidth="1"/>
    <col min="6" max="6" width="5.5703125" customWidth="1"/>
    <col min="7" max="7" width="11.28515625" customWidth="1"/>
    <col min="8" max="9" width="9.42578125" bestFit="1" customWidth="1"/>
    <col min="10" max="10" width="9.28515625" bestFit="1" customWidth="1"/>
    <col min="12" max="12" width="9.42578125" customWidth="1"/>
    <col min="13" max="13" width="8.5703125" customWidth="1"/>
    <col min="16" max="16" width="9.140625" hidden="1" customWidth="1"/>
    <col min="17" max="17" width="11.85546875" hidden="1" customWidth="1"/>
    <col min="18" max="18" width="11.28515625" hidden="1" customWidth="1"/>
    <col min="19" max="19" width="16.42578125" hidden="1" customWidth="1"/>
    <col min="20" max="20" width="11.85546875" hidden="1" customWidth="1"/>
    <col min="21" max="21" width="9.140625" hidden="1" customWidth="1"/>
    <col min="22" max="22" width="9.28515625" hidden="1" customWidth="1"/>
    <col min="23" max="23" width="9.42578125" hidden="1" customWidth="1"/>
    <col min="24" max="26" width="9.28515625" hidden="1" customWidth="1"/>
  </cols>
  <sheetData>
    <row r="1" spans="1:26" ht="42" customHeight="1" x14ac:dyDescent="0.2">
      <c r="A1" s="128" t="s">
        <v>107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26" ht="19.5" hidden="1" customHeight="1" x14ac:dyDescent="0.2">
      <c r="A2" s="1" t="s">
        <v>0</v>
      </c>
      <c r="B2" s="74">
        <v>1</v>
      </c>
    </row>
    <row r="3" spans="1:26" ht="12.75" hidden="1" customHeight="1" x14ac:dyDescent="0.2">
      <c r="A3" s="8" t="s">
        <v>1</v>
      </c>
      <c r="B3" s="9">
        <v>42334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6" ht="6" customHeight="1" x14ac:dyDescent="0.2">
      <c r="A4" s="78"/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26" ht="12.75" customHeight="1" x14ac:dyDescent="0.2">
      <c r="A5" s="78" t="s">
        <v>108</v>
      </c>
      <c r="B5" s="91" t="s">
        <v>68</v>
      </c>
      <c r="C5" s="92"/>
      <c r="D5" s="92"/>
      <c r="E5" s="80"/>
      <c r="F5" s="80"/>
      <c r="G5" s="80"/>
      <c r="J5" s="129" t="s">
        <v>109</v>
      </c>
      <c r="K5" s="129"/>
      <c r="L5" s="92" t="s">
        <v>70</v>
      </c>
      <c r="M5" s="92"/>
      <c r="N5" s="92"/>
    </row>
    <row r="6" spans="1:26" ht="12.75" customHeight="1" x14ac:dyDescent="0.2">
      <c r="A6" s="78" t="s">
        <v>67</v>
      </c>
      <c r="B6" s="91" t="s">
        <v>69</v>
      </c>
      <c r="C6" s="92"/>
      <c r="D6" s="92"/>
      <c r="E6" s="80"/>
      <c r="F6" s="80"/>
      <c r="G6" s="80"/>
      <c r="H6" s="80"/>
      <c r="I6" s="80"/>
      <c r="J6" s="80"/>
      <c r="K6" s="81" t="s">
        <v>1</v>
      </c>
      <c r="L6" s="135">
        <f ca="1">NOW()</f>
        <v>42471.401508449075</v>
      </c>
      <c r="M6" s="135"/>
      <c r="N6" s="92"/>
    </row>
    <row r="7" spans="1:26" ht="24.75" customHeight="1" x14ac:dyDescent="0.2">
      <c r="A7" s="8"/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26" ht="21" customHeight="1" x14ac:dyDescent="0.2">
      <c r="A8" s="5" t="s">
        <v>113</v>
      </c>
      <c r="B8" s="3"/>
      <c r="C8" s="3"/>
      <c r="D8" s="3"/>
      <c r="E8" s="3"/>
      <c r="F8" s="3"/>
      <c r="G8" s="3"/>
      <c r="H8" s="3"/>
      <c r="I8" s="5" t="s">
        <v>116</v>
      </c>
      <c r="J8" s="12"/>
      <c r="K8" s="12"/>
      <c r="L8" s="12"/>
      <c r="M8" s="12"/>
      <c r="N8" s="121" t="s">
        <v>104</v>
      </c>
      <c r="P8" s="37"/>
      <c r="Q8" s="38" t="s">
        <v>136</v>
      </c>
      <c r="R8" s="37"/>
      <c r="S8" s="37"/>
      <c r="U8" s="33"/>
      <c r="V8" s="33"/>
      <c r="W8" s="33"/>
      <c r="X8" s="33"/>
      <c r="Y8" s="33"/>
    </row>
    <row r="9" spans="1:26" ht="6" customHeight="1" x14ac:dyDescent="0.2">
      <c r="A9" s="5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P9" s="37"/>
      <c r="Q9" s="37"/>
      <c r="R9" s="37"/>
      <c r="S9" s="37"/>
      <c r="U9" s="33"/>
      <c r="V9" s="33"/>
      <c r="W9" s="33"/>
    </row>
    <row r="10" spans="1:26" ht="15" customHeight="1" x14ac:dyDescent="0.3">
      <c r="A10" s="10"/>
      <c r="B10" s="10" t="s">
        <v>114</v>
      </c>
      <c r="C10" s="10"/>
      <c r="D10" s="10"/>
      <c r="E10" s="10"/>
      <c r="F10" s="10"/>
      <c r="G10" s="11" t="s">
        <v>90</v>
      </c>
      <c r="H10" s="86">
        <v>160</v>
      </c>
      <c r="I10" s="15"/>
      <c r="J10" s="16"/>
      <c r="K10" s="16"/>
      <c r="L10" s="16"/>
      <c r="M10" s="16"/>
      <c r="N10" s="16"/>
      <c r="P10" s="136" t="s">
        <v>105</v>
      </c>
      <c r="Q10" s="136"/>
      <c r="R10" s="116">
        <f>IF(OR(N8="A",N8="B"),G11,IF(N8="C",G11+J11*0.05,G11+J11*0.125))</f>
        <v>12.5</v>
      </c>
      <c r="U10" s="34"/>
      <c r="V10" s="35"/>
      <c r="W10" s="33"/>
      <c r="X10" s="34"/>
      <c r="Y10" s="36"/>
      <c r="Z10" s="33"/>
    </row>
    <row r="11" spans="1:26" ht="21" customHeight="1" x14ac:dyDescent="0.25">
      <c r="A11" s="58" t="s">
        <v>133</v>
      </c>
      <c r="B11" s="59"/>
      <c r="C11" s="59"/>
      <c r="D11" s="59"/>
      <c r="E11" s="59"/>
      <c r="F11" s="99" t="s">
        <v>152</v>
      </c>
      <c r="G11" s="100">
        <v>10</v>
      </c>
      <c r="H11" s="59"/>
      <c r="I11" s="99" t="s">
        <v>153</v>
      </c>
      <c r="J11" s="100">
        <v>20</v>
      </c>
      <c r="K11" s="59"/>
      <c r="L11" s="99" t="s">
        <v>154</v>
      </c>
      <c r="M11" s="100">
        <v>1</v>
      </c>
      <c r="N11" s="59"/>
      <c r="Q11" s="101" t="s">
        <v>144</v>
      </c>
      <c r="R11" s="102"/>
      <c r="S11" s="103"/>
      <c r="T11" s="104"/>
      <c r="U11" s="105"/>
      <c r="V11" s="103"/>
      <c r="W11" s="104"/>
      <c r="X11" s="105"/>
      <c r="Y11" s="71"/>
      <c r="Z11" s="72"/>
    </row>
    <row r="12" spans="1:26" ht="21" customHeight="1" x14ac:dyDescent="0.3">
      <c r="A12" s="57" t="s">
        <v>134</v>
      </c>
      <c r="B12" s="54"/>
      <c r="C12" s="54"/>
      <c r="D12" s="54"/>
      <c r="E12" s="54"/>
      <c r="F12" s="55"/>
      <c r="G12" s="56"/>
      <c r="H12" s="54"/>
      <c r="I12" s="54"/>
      <c r="J12" s="54"/>
      <c r="K12" s="57"/>
      <c r="L12" s="57"/>
      <c r="M12" s="57"/>
      <c r="N12" s="54"/>
      <c r="Q12" s="106" t="s">
        <v>97</v>
      </c>
      <c r="R12" s="107">
        <f>1-M11/8/66.9</f>
        <v>0.99813153961136025</v>
      </c>
      <c r="S12" s="106" t="s">
        <v>98</v>
      </c>
      <c r="T12" s="107">
        <f>1-M11/6/66.9</f>
        <v>0.99750871948181363</v>
      </c>
      <c r="U12" s="106" t="s">
        <v>99</v>
      </c>
      <c r="V12" s="107">
        <f>1-M11/5/66.9</f>
        <v>0.99701046337817634</v>
      </c>
      <c r="W12" s="106" t="s">
        <v>100</v>
      </c>
      <c r="X12" s="107">
        <f>1-M11/4/66.9</f>
        <v>0.9962630792227205</v>
      </c>
    </row>
    <row r="13" spans="1:26" ht="18" customHeight="1" x14ac:dyDescent="0.2">
      <c r="A13" s="54"/>
      <c r="B13" s="54"/>
      <c r="C13" s="62" t="str">
        <f>(IF(H10=160,"Thermoblock TS 8/160",(IF(H10=180,"Thermoblock TS 8/180",(IF(H10=200,"Thermoblock TS 8/200",IF(H10=220,"Thermoblock TS 8/220"," ")))))))</f>
        <v>Thermoblock TS 8/160</v>
      </c>
      <c r="D13" s="61" t="str">
        <f>IF(Z14&lt;1," genügt nicht."," beträgt in der max. zulässige Achsabstand  ")</f>
        <v xml:space="preserve"> beträgt in der max. zulässige Achsabstand  </v>
      </c>
      <c r="E13" s="61"/>
      <c r="F13" s="54"/>
      <c r="G13" s="61"/>
      <c r="H13" s="119">
        <f>IF(Z14&lt;1," ",Z14*1000)</f>
        <v>3065.4424203288495</v>
      </c>
      <c r="I13" s="54"/>
      <c r="J13" s="126" t="str">
        <f>IF(Z14&lt;1," ",IF(Z14&gt;1.4,"Bei Nutzung Achsabstand der Thermoblocken mehr als 1400 mm muss Bewehrung des Balkonrandes und die verbundene Tragkonstruktion erhöhen."," "))</f>
        <v>Bei Nutzung Achsabstand der Thermoblocken mehr als 1400 mm muss Bewehrung des Balkonrandes und die verbundene Tragkonstruktion erhöhen.</v>
      </c>
      <c r="K13" s="126"/>
      <c r="L13" s="126"/>
      <c r="M13" s="127"/>
      <c r="N13" s="61"/>
      <c r="Q13" s="63" t="s">
        <v>143</v>
      </c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8" customHeight="1" x14ac:dyDescent="0.3">
      <c r="A14" s="54"/>
      <c r="B14" s="54"/>
      <c r="C14" s="62" t="str">
        <f>(IF(H10=160,"Thermoblock TS 6/160",(IF(H10=180,"Thermoblock TS 6/180",(IF(H10=200,"Thermoblock TS 6/200",IF(H10=220,"Thermoblock TS 6/220"," ")))))))</f>
        <v>Thermoblock TS 6/160</v>
      </c>
      <c r="D14" s="61" t="str">
        <f>IF(Z15&lt;1," genügt nicht."," beträgt in der max. zulässige Achsabstand  ")</f>
        <v xml:space="preserve"> beträgt in der max. zulässige Achsabstand  </v>
      </c>
      <c r="E14" s="61"/>
      <c r="F14" s="54"/>
      <c r="G14" s="61"/>
      <c r="H14" s="119">
        <f>IF(Z15&lt;1," ",Z15*1000)</f>
        <v>2297.6472203288495</v>
      </c>
      <c r="I14" s="54"/>
      <c r="J14" s="126"/>
      <c r="K14" s="126"/>
      <c r="L14" s="126"/>
      <c r="M14" s="127"/>
      <c r="N14" s="61"/>
      <c r="Q14" s="65" t="s">
        <v>41</v>
      </c>
      <c r="R14" s="66">
        <f>(IF(H10=160,Data!F5*R12,(IF(H10=180,Data!F6*R12,(IF(H10=200,Data!F7*R12,IF(H10=220,Data!F8*R12,0)))))))</f>
        <v>38.318030254110617</v>
      </c>
      <c r="S14" s="65" t="s">
        <v>42</v>
      </c>
      <c r="T14" s="66">
        <f>(IF(H10=160,Data!I5,(IF(H10=180,Data!I6,(IF(H10=200,Data!I7,IF(H10=220,Data!I8,0)))))))</f>
        <v>79.367999999999995</v>
      </c>
      <c r="U14" s="65" t="s">
        <v>43</v>
      </c>
      <c r="V14" s="67">
        <f>R14/R10</f>
        <v>3.0654424203288495</v>
      </c>
      <c r="W14" s="65" t="s">
        <v>44</v>
      </c>
      <c r="X14" s="67">
        <f>T14/J11</f>
        <v>3.9683999999999999</v>
      </c>
      <c r="Y14" s="65" t="s">
        <v>45</v>
      </c>
      <c r="Z14" s="67">
        <f>MIN(V14,X14)</f>
        <v>3.0654424203288495</v>
      </c>
    </row>
    <row r="15" spans="1:26" ht="18" customHeight="1" x14ac:dyDescent="0.3">
      <c r="A15" s="54"/>
      <c r="B15" s="54"/>
      <c r="C15" s="62" t="str">
        <f>(IF(H10=160,"Thermoblock TS 5/160",(IF(H10=180,"Thermoblock TS 5/180",(IF(H10=200,"Thermoblock TS 5/200",IF(H10=220,"Thermoblock TS 5/220"," ")))))))</f>
        <v>Thermoblock TS 5/160</v>
      </c>
      <c r="D15" s="61" t="str">
        <f>IF(Z16&lt;1," genügt nicht."," beträgt in der max. zulässige Achsabstand  ")</f>
        <v xml:space="preserve"> beträgt in der max. zulässige Achsabstand  </v>
      </c>
      <c r="E15" s="61"/>
      <c r="F15" s="54"/>
      <c r="G15" s="61"/>
      <c r="H15" s="119">
        <f>IF(Z16&lt;1," ",Z16*1000)</f>
        <v>1913.7496203288488</v>
      </c>
      <c r="I15" s="54"/>
      <c r="J15" s="126"/>
      <c r="K15" s="126"/>
      <c r="L15" s="126"/>
      <c r="M15" s="127"/>
      <c r="N15" s="61"/>
      <c r="Q15" s="65" t="s">
        <v>46</v>
      </c>
      <c r="R15" s="66">
        <f>(IF(H10=160,Data!F15*T12,(IF(H10=180,Data!F16*T12,(IF(H10=200,Data!F17*T12,IF(H10=220,Data!F18*T12,0)))))))</f>
        <v>28.720590254110615</v>
      </c>
      <c r="S15" s="65" t="s">
        <v>47</v>
      </c>
      <c r="T15" s="66">
        <f>(IF(H10=160,Data!I15,(IF(H10=180,Data!I16,(IF(H10=200,Data!I17,IF(H10=220,Data!I18,0)))))))</f>
        <v>59.525999999999996</v>
      </c>
      <c r="U15" s="65" t="s">
        <v>48</v>
      </c>
      <c r="V15" s="67">
        <f>R15/R10</f>
        <v>2.2976472203288494</v>
      </c>
      <c r="W15" s="65" t="s">
        <v>49</v>
      </c>
      <c r="X15" s="67">
        <f>T15/J11</f>
        <v>2.9762999999999997</v>
      </c>
      <c r="Y15" s="65" t="s">
        <v>50</v>
      </c>
      <c r="Z15" s="67">
        <f>MIN(V15,X15)</f>
        <v>2.2976472203288494</v>
      </c>
    </row>
    <row r="16" spans="1:26" ht="18" customHeight="1" x14ac:dyDescent="0.3">
      <c r="A16" s="54"/>
      <c r="B16" s="54"/>
      <c r="C16" s="62" t="str">
        <f>(IF(H10=160,"Thermoblock TS 4/160",(IF(H10=180,"Thermoblock TS 4/180",(IF(H10=200,"Thermoblock TS 4/200",IF(H10=220,"Thermoblock TS 4/220"," ")))))))</f>
        <v>Thermoblock TS 4/160</v>
      </c>
      <c r="D16" s="61" t="str">
        <f>IF(Z17&lt;1," genügt nicht."," beträgt in der max. zulässige Achsabstand  ")</f>
        <v xml:space="preserve"> beträgt in der max. zulässige Achsabstand  </v>
      </c>
      <c r="E16" s="61"/>
      <c r="F16" s="54"/>
      <c r="G16" s="61"/>
      <c r="H16" s="119">
        <f>IF(Z17&lt;1," ",Z17*1000)</f>
        <v>1529.8520203288492</v>
      </c>
      <c r="I16" s="54"/>
      <c r="J16" s="126"/>
      <c r="K16" s="126"/>
      <c r="L16" s="126"/>
      <c r="M16" s="127"/>
      <c r="N16" s="61"/>
      <c r="Q16" s="65" t="s">
        <v>51</v>
      </c>
      <c r="R16" s="66">
        <f>(IF(H10=160,Data!F25*V12,(IF(H10=180,Data!F26*V12,(IF(H10=200,Data!F27*V12,IF(H10=220,Data!F28*V12,0)))))))</f>
        <v>23.921870254110612</v>
      </c>
      <c r="S16" s="65" t="s">
        <v>52</v>
      </c>
      <c r="T16" s="66">
        <f>(IF(H10=160,Data!I25,(IF(H10=180,Data!I26,(IF(H10=200,Data!I27,IF(H10=220,Data!I28,0)))))))</f>
        <v>49.604999999999997</v>
      </c>
      <c r="U16" s="65" t="s">
        <v>53</v>
      </c>
      <c r="V16" s="67">
        <f>R16/R10</f>
        <v>1.9137496203288489</v>
      </c>
      <c r="W16" s="65" t="s">
        <v>54</v>
      </c>
      <c r="X16" s="67">
        <f>T16/J11</f>
        <v>2.4802499999999998</v>
      </c>
      <c r="Y16" s="65" t="s">
        <v>55</v>
      </c>
      <c r="Z16" s="67">
        <f>MIN(V16,X16)</f>
        <v>1.9137496203288489</v>
      </c>
    </row>
    <row r="17" spans="1:26" ht="21.75" customHeight="1" x14ac:dyDescent="0.3">
      <c r="A17" s="57" t="s">
        <v>135</v>
      </c>
      <c r="B17" s="54"/>
      <c r="C17" s="57" t="str">
        <f>IF(Z17&gt;0.99999999,"Es wird empfohlen den Thermokorb TS 4 zu verwenden.",(IF(Z16&gt;0.99999999,"Es wird empfohlen den Thermokorb TS 5 zu verwenden.",(IF(Z15&gt;0.99999999,"Es wird empfohlen den Thermokorb TS 6 zu verwenden.",(IF(Z14&gt;0.99999999,"Es wird empfohlen den Thermokorb TS 8 zu verwenden.","Keine Thermoblocks genügen.")))))))</f>
        <v>Es wird empfohlen den Thermokorb TS 4 zu verwenden.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Q17" s="65" t="s">
        <v>56</v>
      </c>
      <c r="R17" s="66">
        <f>(IF(H10=160,Data!F35*X12,(IF(H10=180,Data!F36*X12,(IF(H10=200,Data!F37*X12,IF(H10=220,Data!F38*X12,0)))))))</f>
        <v>19.123150254110616</v>
      </c>
      <c r="S17" s="65" t="s">
        <v>57</v>
      </c>
      <c r="T17" s="66">
        <f>(IF(H10=160,Data!I35,(IF(H10=180,Data!I36,(IF(H10=200,Data!I37,IF(H10=220,Data!I38,0)))))))</f>
        <v>39.683999999999997</v>
      </c>
      <c r="U17" s="65" t="s">
        <v>58</v>
      </c>
      <c r="V17" s="67">
        <f>R17/R10</f>
        <v>1.5298520203288493</v>
      </c>
      <c r="W17" s="65" t="s">
        <v>59</v>
      </c>
      <c r="X17" s="67">
        <f>T17/J11</f>
        <v>1.9842</v>
      </c>
      <c r="Y17" s="65" t="s">
        <v>60</v>
      </c>
      <c r="Z17" s="67">
        <f>MIN(V17,X17)</f>
        <v>1.5298520203288493</v>
      </c>
    </row>
    <row r="18" spans="1:26" ht="15.75" customHeight="1" x14ac:dyDescent="0.2"/>
    <row r="19" spans="1:26" x14ac:dyDescent="0.2">
      <c r="Q19" s="63" t="s">
        <v>140</v>
      </c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5.75" x14ac:dyDescent="0.3">
      <c r="Q20" s="65" t="s">
        <v>41</v>
      </c>
      <c r="R20" s="66">
        <f>(IF(H10=160,Data!F5,(IF(H10=180,Data!F6,(IF(H10=200,Data!F7,IF(H10=220,Data!F8,0)))))))</f>
        <v>38.389760000000003</v>
      </c>
      <c r="S20" s="65" t="s">
        <v>42</v>
      </c>
      <c r="T20" s="66">
        <f>(IF(H10=160,Data!I5,(IF(H10=180,Data!I6,(IF(H10=200,Data!I7,IF(H10=220,Data!I8,0)))))))</f>
        <v>79.367999999999995</v>
      </c>
      <c r="U20" s="65"/>
      <c r="V20" s="67"/>
      <c r="W20" s="65"/>
      <c r="X20" s="67"/>
      <c r="Y20" s="65"/>
      <c r="Z20" s="67"/>
    </row>
    <row r="21" spans="1:26" ht="15.75" x14ac:dyDescent="0.3">
      <c r="Q21" s="65" t="s">
        <v>46</v>
      </c>
      <c r="R21" s="66">
        <f>(IF(H10=160,Data!F15,(IF(H10=180,Data!F16,(IF(H10=200,Data!F17,IF(H10=220,Data!F18,0)))))))</f>
        <v>28.792320000000004</v>
      </c>
      <c r="S21" s="65" t="s">
        <v>47</v>
      </c>
      <c r="T21" s="66">
        <f>(IF(H10=160,Data!I15,(IF(H10=180,Data!I16,(IF(H10=200,Data!I17,IF(H10=220,Data!I18,0)))))))</f>
        <v>59.525999999999996</v>
      </c>
      <c r="U21" s="65"/>
      <c r="V21" s="67"/>
      <c r="W21" s="65"/>
      <c r="X21" s="67"/>
      <c r="Y21" s="65"/>
      <c r="Z21" s="67"/>
    </row>
    <row r="22" spans="1:26" ht="15.75" x14ac:dyDescent="0.3">
      <c r="Q22" s="65" t="s">
        <v>51</v>
      </c>
      <c r="R22" s="66">
        <f>(IF(H10=160,Data!F25,(IF(H10=180,Data!F26,(IF(H10=200,Data!F27,IF(H10=220,Data!F28,0)))))))</f>
        <v>23.993600000000001</v>
      </c>
      <c r="S22" s="65" t="s">
        <v>52</v>
      </c>
      <c r="T22" s="66">
        <f>(IF(H10=160,Data!I25,(IF(H10=180,Data!I26,(IF(H10=200,Data!I27,IF(H10=220,Data!I28,0)))))))</f>
        <v>49.604999999999997</v>
      </c>
      <c r="U22" s="65"/>
      <c r="V22" s="67"/>
      <c r="W22" s="65"/>
      <c r="X22" s="67"/>
      <c r="Y22" s="65"/>
      <c r="Z22" s="67"/>
    </row>
    <row r="23" spans="1:26" ht="15.75" x14ac:dyDescent="0.3">
      <c r="Q23" s="65" t="s">
        <v>56</v>
      </c>
      <c r="R23" s="66">
        <f>(IF(H10=160,Data!F35,(IF(H10=180,Data!F36,(IF(H10=200,Data!F37,IF(H10=220,Data!F38,0)))))))</f>
        <v>19.194880000000001</v>
      </c>
      <c r="S23" s="65" t="s">
        <v>57</v>
      </c>
      <c r="T23" s="66">
        <f>(IF(H10=160,Data!I35,(IF(H10=180,Data!I36,(IF(H10=200,Data!I37,IF(H10=220,Data!I38,0)))))))</f>
        <v>39.683999999999997</v>
      </c>
      <c r="U23" s="65"/>
      <c r="V23" s="67"/>
      <c r="W23" s="65"/>
      <c r="X23" s="67"/>
      <c r="Y23" s="65"/>
      <c r="Z23" s="67"/>
    </row>
    <row r="26" spans="1:26" ht="15.75" x14ac:dyDescent="0.3">
      <c r="Q26" s="4" t="s">
        <v>90</v>
      </c>
      <c r="R26">
        <v>160</v>
      </c>
      <c r="S26" s="80"/>
    </row>
    <row r="27" spans="1:26" x14ac:dyDescent="0.2">
      <c r="R27">
        <v>180</v>
      </c>
      <c r="S27" s="80"/>
    </row>
    <row r="28" spans="1:26" x14ac:dyDescent="0.2">
      <c r="R28">
        <v>200</v>
      </c>
      <c r="S28" s="80"/>
    </row>
    <row r="29" spans="1:26" x14ac:dyDescent="0.2">
      <c r="R29">
        <v>220</v>
      </c>
      <c r="S29" s="80"/>
    </row>
    <row r="30" spans="1:26" x14ac:dyDescent="0.2">
      <c r="Q30" s="108" t="s">
        <v>141</v>
      </c>
      <c r="R30" s="109"/>
      <c r="S30" s="109"/>
      <c r="T30" s="109" t="s">
        <v>101</v>
      </c>
    </row>
    <row r="31" spans="1:26" x14ac:dyDescent="0.2">
      <c r="Q31" s="109"/>
      <c r="R31" s="109"/>
      <c r="S31" s="109"/>
      <c r="T31" s="109" t="s">
        <v>102</v>
      </c>
    </row>
    <row r="32" spans="1:26" x14ac:dyDescent="0.2">
      <c r="Q32" s="109"/>
      <c r="R32" s="109"/>
      <c r="S32" s="109"/>
      <c r="T32" s="109" t="s">
        <v>103</v>
      </c>
    </row>
    <row r="33" spans="17:20" x14ac:dyDescent="0.2">
      <c r="Q33" s="109"/>
      <c r="R33" s="109"/>
      <c r="S33" s="109"/>
      <c r="T33" s="109" t="s">
        <v>104</v>
      </c>
    </row>
    <row r="42" spans="17:20" ht="16.5" customHeight="1" x14ac:dyDescent="0.2"/>
  </sheetData>
  <sheetProtection sheet="1" objects="1" scenarios="1"/>
  <mergeCells count="5">
    <mergeCell ref="P10:Q10"/>
    <mergeCell ref="J13:M16"/>
    <mergeCell ref="A1:N1"/>
    <mergeCell ref="J5:K5"/>
    <mergeCell ref="L6:M6"/>
  </mergeCells>
  <phoneticPr fontId="0" type="noConversion"/>
  <dataValidations count="2">
    <dataValidation type="list" allowBlank="1" showInputMessage="1" showErrorMessage="1" errorTitle="Geometrietyp der Tragkonstruktio" error="Nötig zwischen  Typen &quot;A&quot;, &quot;B&quot;, &quot;C&quot; und &quot;D&quot; wählen" promptTitle="Geometrietyp der Tragkonstruktio" prompt="Nötig zwischen  Typen &quot;A&quot;, &quot;B&quot;, &quot;C&quot; und &quot;D&quot;, wie gezeigt, wählen" sqref="N8">
      <formula1>$T$30:$T$33</formula1>
    </dataValidation>
    <dataValidation type="list" allowBlank="1" showInputMessage="1" showErrorMessage="1" errorTitle="Dicke bei der Konstruktion" error="Nötig zwischen &quot;160&quot;, &quot;180&quot;, &quot;200&quot; nebo &quot;220&quot; wählen " promptTitle="Dicke bei der Konstruktion" prompt="Nötig zwischen erzeugene Höhen der bewehrten Isolationselementen 160, 180 , 200 oder 220 mm wählen" sqref="H10">
      <formula1>$R$26:$R$29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O8" sqref="O8"/>
    </sheetView>
  </sheetViews>
  <sheetFormatPr defaultRowHeight="12.75" x14ac:dyDescent="0.2"/>
  <cols>
    <col min="2" max="2" width="12.85546875" customWidth="1"/>
  </cols>
  <sheetData>
    <row r="1" spans="1:9" ht="13.5" thickBot="1" x14ac:dyDescent="0.25">
      <c r="A1" s="44"/>
      <c r="B1" s="44"/>
      <c r="C1" s="44"/>
      <c r="D1" s="44"/>
      <c r="E1" s="45" t="s">
        <v>27</v>
      </c>
      <c r="F1" s="44"/>
      <c r="G1" s="44"/>
      <c r="H1" s="44"/>
      <c r="I1" s="44"/>
    </row>
    <row r="2" spans="1:9" ht="13.5" thickBot="1" x14ac:dyDescent="0.25">
      <c r="A2" s="137" t="s">
        <v>28</v>
      </c>
      <c r="B2" s="137"/>
      <c r="C2" s="137"/>
      <c r="D2" s="137"/>
      <c r="E2" s="137"/>
      <c r="F2" s="137"/>
      <c r="G2" s="137"/>
      <c r="H2" s="137"/>
      <c r="I2" s="137"/>
    </row>
    <row r="3" spans="1:9" ht="15.75" x14ac:dyDescent="0.3">
      <c r="A3" s="2" t="s">
        <v>19</v>
      </c>
      <c r="B3" s="2" t="s">
        <v>21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</row>
    <row r="4" spans="1:9" x14ac:dyDescent="0.2">
      <c r="A4" s="2" t="s">
        <v>20</v>
      </c>
      <c r="B4" s="2" t="s">
        <v>20</v>
      </c>
      <c r="C4" s="2" t="s">
        <v>22</v>
      </c>
      <c r="D4" s="2" t="s">
        <v>22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</row>
    <row r="5" spans="1:9" x14ac:dyDescent="0.2">
      <c r="A5" s="46">
        <v>160</v>
      </c>
      <c r="B5" s="47">
        <v>81.5</v>
      </c>
      <c r="C5" s="48">
        <v>38.389760000000003</v>
      </c>
      <c r="D5" s="48">
        <v>43.638360000000006</v>
      </c>
      <c r="E5" s="49">
        <v>38.389760000000003</v>
      </c>
      <c r="F5" s="50">
        <v>38.389760000000003</v>
      </c>
      <c r="G5" s="51">
        <v>0.93</v>
      </c>
      <c r="H5" s="49">
        <v>79.367999999999995</v>
      </c>
      <c r="I5" s="50">
        <v>79.367999999999995</v>
      </c>
    </row>
    <row r="6" spans="1:9" x14ac:dyDescent="0.2">
      <c r="A6" s="46">
        <v>180</v>
      </c>
      <c r="B6" s="47">
        <v>101.5</v>
      </c>
      <c r="C6" s="48">
        <v>47.810560000000002</v>
      </c>
      <c r="D6" s="48">
        <v>54.347160000000002</v>
      </c>
      <c r="E6" s="49">
        <v>47.810560000000002</v>
      </c>
      <c r="F6" s="50">
        <v>47.810560000000002</v>
      </c>
      <c r="G6" s="51">
        <v>0.74</v>
      </c>
      <c r="H6" s="49">
        <v>95.22</v>
      </c>
      <c r="I6" s="50">
        <v>95.22</v>
      </c>
    </row>
    <row r="7" spans="1:9" x14ac:dyDescent="0.2">
      <c r="A7" s="46">
        <v>200</v>
      </c>
      <c r="B7" s="47">
        <v>121.5</v>
      </c>
      <c r="C7" s="48">
        <v>57.231360000000002</v>
      </c>
      <c r="D7" s="48">
        <v>65.055960000000013</v>
      </c>
      <c r="E7" s="49">
        <v>57.231360000000002</v>
      </c>
      <c r="F7" s="50">
        <v>57.231360000000002</v>
      </c>
      <c r="G7" s="51">
        <v>0.62</v>
      </c>
      <c r="H7" s="49">
        <v>110.032</v>
      </c>
      <c r="I7" s="50">
        <v>110.032</v>
      </c>
    </row>
    <row r="8" spans="1:9" x14ac:dyDescent="0.2">
      <c r="A8" s="46">
        <v>220</v>
      </c>
      <c r="B8" s="47">
        <v>141.5</v>
      </c>
      <c r="C8" s="48">
        <v>66.652160000000009</v>
      </c>
      <c r="D8" s="48">
        <v>75.76476000000001</v>
      </c>
      <c r="E8" s="49">
        <v>66.652160000000009</v>
      </c>
      <c r="F8" s="50">
        <v>66.652160000000009</v>
      </c>
      <c r="G8" s="51">
        <v>0.53</v>
      </c>
      <c r="H8" s="49">
        <v>123.63200000000001</v>
      </c>
      <c r="I8" s="50">
        <v>123.63200000000001</v>
      </c>
    </row>
    <row r="10" spans="1:9" ht="13.5" thickBot="1" x14ac:dyDescent="0.25"/>
    <row r="11" spans="1:9" ht="13.5" thickBot="1" x14ac:dyDescent="0.25">
      <c r="A11" s="44"/>
      <c r="B11" s="44"/>
      <c r="C11" s="44"/>
      <c r="D11" s="44"/>
      <c r="E11" s="45" t="s">
        <v>29</v>
      </c>
      <c r="F11" s="44"/>
      <c r="G11" s="44"/>
      <c r="H11" s="44"/>
      <c r="I11" s="44"/>
    </row>
    <row r="12" spans="1:9" ht="13.5" thickBot="1" x14ac:dyDescent="0.25">
      <c r="A12" s="137" t="s">
        <v>28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x14ac:dyDescent="0.3">
      <c r="A13" s="2" t="s">
        <v>19</v>
      </c>
      <c r="B13" s="2" t="s">
        <v>21</v>
      </c>
      <c r="C13" s="2" t="s">
        <v>32</v>
      </c>
      <c r="D13" s="2" t="s">
        <v>33</v>
      </c>
      <c r="E13" s="2" t="s">
        <v>34</v>
      </c>
      <c r="F13" s="2" t="s">
        <v>35</v>
      </c>
      <c r="G13" s="2" t="s">
        <v>36</v>
      </c>
      <c r="H13" s="2" t="s">
        <v>37</v>
      </c>
      <c r="I13" s="2" t="s">
        <v>38</v>
      </c>
    </row>
    <row r="14" spans="1:9" x14ac:dyDescent="0.2">
      <c r="A14" s="2" t="s">
        <v>20</v>
      </c>
      <c r="B14" s="2" t="s">
        <v>20</v>
      </c>
      <c r="C14" s="2" t="s">
        <v>22</v>
      </c>
      <c r="D14" s="2" t="s">
        <v>22</v>
      </c>
      <c r="E14" s="2" t="s">
        <v>22</v>
      </c>
      <c r="F14" s="2" t="s">
        <v>23</v>
      </c>
      <c r="G14" s="2" t="s">
        <v>24</v>
      </c>
      <c r="H14" s="2" t="s">
        <v>25</v>
      </c>
      <c r="I14" s="2" t="s">
        <v>26</v>
      </c>
    </row>
    <row r="15" spans="1:9" x14ac:dyDescent="0.2">
      <c r="A15" s="46">
        <v>160</v>
      </c>
      <c r="B15" s="47">
        <v>81.5</v>
      </c>
      <c r="C15" s="48">
        <v>28.792320000000004</v>
      </c>
      <c r="D15" s="48">
        <v>32.728770000000004</v>
      </c>
      <c r="E15" s="49">
        <v>28.792320000000004</v>
      </c>
      <c r="F15" s="50">
        <v>28.792320000000004</v>
      </c>
      <c r="G15" s="51">
        <v>0.93</v>
      </c>
      <c r="H15" s="52">
        <v>59.525999999999996</v>
      </c>
      <c r="I15" s="53">
        <v>59.525999999999996</v>
      </c>
    </row>
    <row r="16" spans="1:9" x14ac:dyDescent="0.2">
      <c r="A16" s="46">
        <v>180</v>
      </c>
      <c r="B16" s="47">
        <v>101.5</v>
      </c>
      <c r="C16" s="48">
        <v>35.857920000000007</v>
      </c>
      <c r="D16" s="48">
        <v>40.760370000000002</v>
      </c>
      <c r="E16" s="49">
        <v>35.857920000000007</v>
      </c>
      <c r="F16" s="50">
        <v>35.857920000000007</v>
      </c>
      <c r="G16" s="51">
        <v>0.74</v>
      </c>
      <c r="H16" s="49">
        <v>71.415000000000006</v>
      </c>
      <c r="I16" s="50">
        <v>71.415000000000006</v>
      </c>
    </row>
    <row r="17" spans="1:9" x14ac:dyDescent="0.2">
      <c r="A17" s="46">
        <v>200</v>
      </c>
      <c r="B17" s="47">
        <v>121.5</v>
      </c>
      <c r="C17" s="48">
        <v>42.923520000000003</v>
      </c>
      <c r="D17" s="48">
        <v>48.791970000000006</v>
      </c>
      <c r="E17" s="49">
        <v>42.923520000000003</v>
      </c>
      <c r="F17" s="50">
        <v>42.923520000000003</v>
      </c>
      <c r="G17" s="51">
        <v>0.62</v>
      </c>
      <c r="H17" s="49">
        <v>82.524000000000001</v>
      </c>
      <c r="I17" s="50">
        <v>82.524000000000001</v>
      </c>
    </row>
    <row r="18" spans="1:9" x14ac:dyDescent="0.2">
      <c r="A18" s="46">
        <v>220</v>
      </c>
      <c r="B18" s="47">
        <v>141.5</v>
      </c>
      <c r="C18" s="48">
        <v>49.98912</v>
      </c>
      <c r="D18" s="48">
        <v>56.823570000000004</v>
      </c>
      <c r="E18" s="49">
        <v>49.98912</v>
      </c>
      <c r="F18" s="50">
        <v>49.98912</v>
      </c>
      <c r="G18" s="51">
        <v>0.53</v>
      </c>
      <c r="H18" s="49">
        <v>92.724000000000004</v>
      </c>
      <c r="I18" s="50">
        <v>92.724000000000004</v>
      </c>
    </row>
    <row r="20" spans="1:9" ht="13.5" thickBot="1" x14ac:dyDescent="0.25"/>
    <row r="21" spans="1:9" ht="13.5" thickBot="1" x14ac:dyDescent="0.25">
      <c r="A21" s="44"/>
      <c r="B21" s="44"/>
      <c r="C21" s="44"/>
      <c r="D21" s="44"/>
      <c r="E21" s="45" t="s">
        <v>30</v>
      </c>
      <c r="F21" s="44"/>
      <c r="G21" s="44"/>
      <c r="H21" s="44"/>
      <c r="I21" s="44"/>
    </row>
    <row r="22" spans="1:9" ht="13.5" thickBot="1" x14ac:dyDescent="0.25">
      <c r="A22" s="137" t="s">
        <v>28</v>
      </c>
      <c r="B22" s="137"/>
      <c r="C22" s="137"/>
      <c r="D22" s="137"/>
      <c r="E22" s="137"/>
      <c r="F22" s="137"/>
      <c r="G22" s="137"/>
      <c r="H22" s="137"/>
      <c r="I22" s="137"/>
    </row>
    <row r="23" spans="1:9" ht="15.75" x14ac:dyDescent="0.3">
      <c r="A23" s="2" t="s">
        <v>19</v>
      </c>
      <c r="B23" s="2" t="s">
        <v>21</v>
      </c>
      <c r="C23" s="2" t="s">
        <v>32</v>
      </c>
      <c r="D23" s="2" t="s">
        <v>33</v>
      </c>
      <c r="E23" s="2" t="s">
        <v>34</v>
      </c>
      <c r="F23" s="2" t="s">
        <v>35</v>
      </c>
      <c r="G23" s="2" t="s">
        <v>36</v>
      </c>
      <c r="H23" s="2" t="s">
        <v>37</v>
      </c>
      <c r="I23" s="2" t="s">
        <v>38</v>
      </c>
    </row>
    <row r="24" spans="1:9" x14ac:dyDescent="0.2">
      <c r="A24" s="2" t="s">
        <v>20</v>
      </c>
      <c r="B24" s="2" t="s">
        <v>20</v>
      </c>
      <c r="C24" s="2" t="s">
        <v>22</v>
      </c>
      <c r="D24" s="2" t="s">
        <v>22</v>
      </c>
      <c r="E24" s="2" t="s">
        <v>22</v>
      </c>
      <c r="F24" s="2" t="s">
        <v>23</v>
      </c>
      <c r="G24" s="2" t="s">
        <v>24</v>
      </c>
      <c r="H24" s="2" t="s">
        <v>25</v>
      </c>
      <c r="I24" s="2" t="s">
        <v>26</v>
      </c>
    </row>
    <row r="25" spans="1:9" x14ac:dyDescent="0.2">
      <c r="A25" s="46">
        <v>160</v>
      </c>
      <c r="B25" s="47">
        <v>81.5</v>
      </c>
      <c r="C25" s="48">
        <v>23.993600000000001</v>
      </c>
      <c r="D25" s="48">
        <v>27.273975000000004</v>
      </c>
      <c r="E25" s="49">
        <v>23.993600000000001</v>
      </c>
      <c r="F25" s="50">
        <v>23.993600000000001</v>
      </c>
      <c r="G25" s="51">
        <v>0.93</v>
      </c>
      <c r="H25" s="49">
        <v>49.604999999999997</v>
      </c>
      <c r="I25" s="50">
        <v>49.604999999999997</v>
      </c>
    </row>
    <row r="26" spans="1:9" x14ac:dyDescent="0.2">
      <c r="A26" s="46">
        <v>180</v>
      </c>
      <c r="B26" s="47">
        <v>101.5</v>
      </c>
      <c r="C26" s="48">
        <v>29.881600000000002</v>
      </c>
      <c r="D26" s="48">
        <v>33.966975000000005</v>
      </c>
      <c r="E26" s="49">
        <v>29.881600000000002</v>
      </c>
      <c r="F26" s="50">
        <v>29.881600000000002</v>
      </c>
      <c r="G26" s="51">
        <v>0.74</v>
      </c>
      <c r="H26" s="49">
        <v>59.512500000000003</v>
      </c>
      <c r="I26" s="50">
        <v>59.512500000000003</v>
      </c>
    </row>
    <row r="27" spans="1:9" x14ac:dyDescent="0.2">
      <c r="A27" s="46">
        <v>200</v>
      </c>
      <c r="B27" s="47">
        <v>121.5</v>
      </c>
      <c r="C27" s="48">
        <v>35.769600000000004</v>
      </c>
      <c r="D27" s="48">
        <v>40.659975000000003</v>
      </c>
      <c r="E27" s="49">
        <v>35.769600000000004</v>
      </c>
      <c r="F27" s="50">
        <v>35.769600000000004</v>
      </c>
      <c r="G27" s="51">
        <v>0.62</v>
      </c>
      <c r="H27" s="49">
        <v>68.77</v>
      </c>
      <c r="I27" s="50">
        <v>68.77</v>
      </c>
    </row>
    <row r="28" spans="1:9" x14ac:dyDescent="0.2">
      <c r="A28" s="46">
        <v>220</v>
      </c>
      <c r="B28" s="47">
        <v>141.5</v>
      </c>
      <c r="C28" s="48">
        <v>41.657600000000009</v>
      </c>
      <c r="D28" s="48">
        <v>47.352975000000008</v>
      </c>
      <c r="E28" s="49">
        <v>41.657600000000009</v>
      </c>
      <c r="F28" s="50">
        <v>41.657600000000009</v>
      </c>
      <c r="G28" s="51">
        <v>0.53</v>
      </c>
      <c r="H28" s="49">
        <v>77.27</v>
      </c>
      <c r="I28" s="50">
        <v>77.27</v>
      </c>
    </row>
    <row r="30" spans="1:9" ht="13.5" thickBot="1" x14ac:dyDescent="0.25"/>
    <row r="31" spans="1:9" ht="13.5" thickBot="1" x14ac:dyDescent="0.25">
      <c r="A31" s="44"/>
      <c r="B31" s="44"/>
      <c r="C31" s="44"/>
      <c r="D31" s="44"/>
      <c r="E31" s="45" t="s">
        <v>31</v>
      </c>
      <c r="F31" s="44"/>
      <c r="G31" s="44"/>
      <c r="H31" s="44"/>
      <c r="I31" s="44"/>
    </row>
    <row r="32" spans="1:9" ht="13.5" thickBot="1" x14ac:dyDescent="0.25">
      <c r="A32" s="137" t="s">
        <v>28</v>
      </c>
      <c r="B32" s="137"/>
      <c r="C32" s="137"/>
      <c r="D32" s="137"/>
      <c r="E32" s="137"/>
      <c r="F32" s="137"/>
      <c r="G32" s="137"/>
      <c r="H32" s="137"/>
      <c r="I32" s="137"/>
    </row>
    <row r="33" spans="1:9" ht="15.75" x14ac:dyDescent="0.3">
      <c r="A33" s="2" t="s">
        <v>19</v>
      </c>
      <c r="B33" s="2" t="s">
        <v>21</v>
      </c>
      <c r="C33" s="2" t="s">
        <v>32</v>
      </c>
      <c r="D33" s="2" t="s">
        <v>33</v>
      </c>
      <c r="E33" s="2" t="s">
        <v>34</v>
      </c>
      <c r="F33" s="2" t="s">
        <v>35</v>
      </c>
      <c r="G33" s="2" t="s">
        <v>36</v>
      </c>
      <c r="H33" s="2" t="s">
        <v>37</v>
      </c>
      <c r="I33" s="2" t="s">
        <v>38</v>
      </c>
    </row>
    <row r="34" spans="1:9" x14ac:dyDescent="0.2">
      <c r="A34" s="2" t="s">
        <v>20</v>
      </c>
      <c r="B34" s="2" t="s">
        <v>20</v>
      </c>
      <c r="C34" s="2" t="s">
        <v>22</v>
      </c>
      <c r="D34" s="2" t="s">
        <v>22</v>
      </c>
      <c r="E34" s="2" t="s">
        <v>22</v>
      </c>
      <c r="F34" s="2" t="s">
        <v>23</v>
      </c>
      <c r="G34" s="2" t="s">
        <v>24</v>
      </c>
      <c r="H34" s="2" t="s">
        <v>25</v>
      </c>
      <c r="I34" s="2" t="s">
        <v>26</v>
      </c>
    </row>
    <row r="35" spans="1:9" x14ac:dyDescent="0.2">
      <c r="A35" s="46">
        <v>160</v>
      </c>
      <c r="B35" s="47">
        <v>81.5</v>
      </c>
      <c r="C35" s="48">
        <v>19.194880000000001</v>
      </c>
      <c r="D35" s="48">
        <v>21.819180000000003</v>
      </c>
      <c r="E35" s="49">
        <v>19.194880000000001</v>
      </c>
      <c r="F35" s="50">
        <v>19.194880000000001</v>
      </c>
      <c r="G35" s="51">
        <v>0.93</v>
      </c>
      <c r="H35" s="49">
        <v>39.683999999999997</v>
      </c>
      <c r="I35" s="50">
        <v>39.683999999999997</v>
      </c>
    </row>
    <row r="36" spans="1:9" x14ac:dyDescent="0.2">
      <c r="A36" s="46">
        <v>180</v>
      </c>
      <c r="B36" s="47">
        <v>101.5</v>
      </c>
      <c r="C36" s="48">
        <v>23.905280000000001</v>
      </c>
      <c r="D36" s="48">
        <v>27.173580000000001</v>
      </c>
      <c r="E36" s="49">
        <v>23.905280000000001</v>
      </c>
      <c r="F36" s="50">
        <v>23.905280000000001</v>
      </c>
      <c r="G36" s="51">
        <v>0.74</v>
      </c>
      <c r="H36" s="49">
        <v>47.61</v>
      </c>
      <c r="I36" s="50">
        <v>47.61</v>
      </c>
    </row>
    <row r="37" spans="1:9" x14ac:dyDescent="0.2">
      <c r="A37" s="46">
        <v>200</v>
      </c>
      <c r="B37" s="47">
        <v>121.5</v>
      </c>
      <c r="C37" s="48">
        <v>28.615680000000001</v>
      </c>
      <c r="D37" s="48">
        <v>32.527980000000007</v>
      </c>
      <c r="E37" s="49">
        <v>28.615680000000001</v>
      </c>
      <c r="F37" s="50">
        <v>28.615680000000001</v>
      </c>
      <c r="G37" s="51">
        <v>0.62</v>
      </c>
      <c r="H37" s="49">
        <v>55.015999999999998</v>
      </c>
      <c r="I37" s="50">
        <v>55.015999999999998</v>
      </c>
    </row>
    <row r="38" spans="1:9" x14ac:dyDescent="0.2">
      <c r="A38" s="46">
        <v>220</v>
      </c>
      <c r="B38" s="47">
        <v>141.5</v>
      </c>
      <c r="C38" s="48">
        <v>33.326080000000005</v>
      </c>
      <c r="D38" s="48">
        <v>37.882380000000005</v>
      </c>
      <c r="E38" s="49">
        <v>33.326080000000005</v>
      </c>
      <c r="F38" s="50">
        <v>33.326080000000005</v>
      </c>
      <c r="G38" s="51">
        <v>0.53</v>
      </c>
      <c r="H38" s="49">
        <v>61.816000000000003</v>
      </c>
      <c r="I38" s="50">
        <v>61.816000000000003</v>
      </c>
    </row>
  </sheetData>
  <sheetProtection sheet="1" objects="1" scenarios="1"/>
  <mergeCells count="4">
    <mergeCell ref="A2:I2"/>
    <mergeCell ref="A12:I12"/>
    <mergeCell ref="A22:I22"/>
    <mergeCell ref="A32:I3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Balkon-Belast_Geom</vt:lpstr>
      <vt:lpstr>Balkon-innen_Kraefte</vt:lpstr>
      <vt:lpstr>Data</vt:lpstr>
      <vt:lpstr>'Balkon-Belast_Geom'!Področje_tiskanja</vt:lpstr>
      <vt:lpstr>'Balkon-innen_Kraefte'!Področje_tiskanja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Sebastjan Gobec</cp:lastModifiedBy>
  <cp:lastPrinted>2016-04-07T12:03:30Z</cp:lastPrinted>
  <dcterms:created xsi:type="dcterms:W3CDTF">1997-01-24T11:07:25Z</dcterms:created>
  <dcterms:modified xsi:type="dcterms:W3CDTF">2016-04-11T07:44:45Z</dcterms:modified>
</cp:coreProperties>
</file>